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Mining Cadastre 2016" sheetId="2" r:id="rId1"/>
  </sheets>
  <definedNames>
    <definedName name="_xlnm._FilterDatabase" localSheetId="0" hidden="1">'Mining Cadastre 2016'!$A$1:$J$1146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46" i="2" l="1"/>
  <c r="A1146" i="2"/>
  <c r="J1145" i="2"/>
  <c r="A1145" i="2"/>
  <c r="J1144" i="2"/>
  <c r="A1144" i="2"/>
  <c r="J1143" i="2"/>
  <c r="A1143" i="2"/>
  <c r="J1142" i="2"/>
  <c r="A1142" i="2"/>
  <c r="J1141" i="2"/>
  <c r="A1141" i="2"/>
  <c r="J1140" i="2"/>
  <c r="A1140" i="2"/>
  <c r="J1139" i="2"/>
  <c r="A1139" i="2"/>
  <c r="J1138" i="2"/>
  <c r="A1138" i="2"/>
  <c r="J1137" i="2"/>
  <c r="A1137" i="2"/>
  <c r="J1136" i="2"/>
  <c r="A1136" i="2"/>
  <c r="J1135" i="2"/>
  <c r="A1135" i="2"/>
  <c r="J1134" i="2"/>
  <c r="A1134" i="2"/>
  <c r="J1133" i="2"/>
  <c r="A1133" i="2"/>
  <c r="J1132" i="2"/>
  <c r="A1132" i="2"/>
  <c r="J1131" i="2"/>
  <c r="A1131" i="2"/>
  <c r="J1130" i="2"/>
  <c r="A1130" i="2"/>
  <c r="J1129" i="2"/>
  <c r="A1129" i="2"/>
  <c r="J1128" i="2"/>
  <c r="A1128" i="2"/>
  <c r="J1127" i="2"/>
  <c r="A1127" i="2"/>
  <c r="J1126" i="2"/>
  <c r="A1126" i="2"/>
  <c r="J1125" i="2"/>
  <c r="A1125" i="2"/>
  <c r="J1124" i="2"/>
  <c r="A1124" i="2"/>
  <c r="J1123" i="2"/>
  <c r="A1123" i="2"/>
  <c r="J1122" i="2"/>
  <c r="A1122" i="2"/>
  <c r="J1121" i="2"/>
  <c r="A1121" i="2"/>
  <c r="J1120" i="2"/>
  <c r="A1120" i="2"/>
  <c r="J1119" i="2"/>
  <c r="A1119" i="2"/>
  <c r="J1118" i="2"/>
  <c r="A1118" i="2"/>
  <c r="J1117" i="2"/>
  <c r="A1117" i="2"/>
  <c r="J1116" i="2"/>
  <c r="A1116" i="2"/>
  <c r="J1115" i="2"/>
  <c r="A1115" i="2"/>
  <c r="J1114" i="2"/>
  <c r="A1114" i="2"/>
  <c r="J1113" i="2"/>
  <c r="A1113" i="2"/>
  <c r="J1112" i="2"/>
  <c r="A1112" i="2"/>
  <c r="J1111" i="2"/>
  <c r="A1111" i="2"/>
  <c r="J1110" i="2"/>
  <c r="A1110" i="2"/>
  <c r="J1109" i="2"/>
  <c r="A1109" i="2"/>
  <c r="J1108" i="2"/>
  <c r="A1108" i="2"/>
  <c r="J1107" i="2"/>
  <c r="A1107" i="2"/>
  <c r="J1106" i="2"/>
  <c r="A1106" i="2"/>
  <c r="J1105" i="2"/>
  <c r="A1105" i="2"/>
  <c r="J1104" i="2"/>
  <c r="A1104" i="2"/>
  <c r="J1103" i="2"/>
  <c r="A1103" i="2"/>
  <c r="J1102" i="2"/>
  <c r="A1102" i="2"/>
  <c r="J1101" i="2"/>
  <c r="A1101" i="2"/>
  <c r="J1100" i="2"/>
  <c r="A1100" i="2"/>
  <c r="J1099" i="2"/>
  <c r="A1099" i="2"/>
  <c r="J1098" i="2"/>
  <c r="A1098" i="2"/>
  <c r="J1097" i="2"/>
  <c r="A1097" i="2"/>
  <c r="J1096" i="2"/>
  <c r="A1096" i="2"/>
  <c r="J1095" i="2"/>
  <c r="A1095" i="2"/>
  <c r="J1094" i="2"/>
  <c r="A1094" i="2"/>
  <c r="J1093" i="2"/>
  <c r="A1093" i="2"/>
  <c r="J1092" i="2"/>
  <c r="A1092" i="2"/>
  <c r="J1091" i="2"/>
  <c r="A1091" i="2"/>
  <c r="J1090" i="2"/>
  <c r="A1090" i="2"/>
  <c r="J1089" i="2"/>
  <c r="A1089" i="2"/>
  <c r="J1088" i="2"/>
  <c r="A1088" i="2"/>
  <c r="J1087" i="2"/>
  <c r="A1087" i="2"/>
  <c r="J1086" i="2"/>
  <c r="A1086" i="2"/>
  <c r="J1085" i="2"/>
  <c r="A1085" i="2"/>
  <c r="J1084" i="2"/>
  <c r="A1084" i="2"/>
  <c r="J1083" i="2"/>
  <c r="A1083" i="2"/>
  <c r="J1082" i="2"/>
  <c r="A1082" i="2"/>
  <c r="J1081" i="2"/>
  <c r="A1081" i="2"/>
  <c r="J1080" i="2"/>
  <c r="A1080" i="2"/>
  <c r="J1079" i="2"/>
  <c r="A1079" i="2"/>
  <c r="J1078" i="2"/>
  <c r="A1078" i="2"/>
  <c r="J1077" i="2"/>
  <c r="A1077" i="2"/>
  <c r="J1076" i="2"/>
  <c r="A1076" i="2"/>
  <c r="J1075" i="2"/>
  <c r="A1075" i="2"/>
  <c r="J1074" i="2"/>
  <c r="A1074" i="2"/>
  <c r="J1073" i="2"/>
  <c r="A1073" i="2"/>
  <c r="J1072" i="2"/>
  <c r="A1072" i="2"/>
  <c r="J1071" i="2"/>
  <c r="A1071" i="2"/>
  <c r="J1070" i="2"/>
  <c r="A1070" i="2"/>
  <c r="J1069" i="2"/>
  <c r="A1069" i="2"/>
  <c r="J1068" i="2"/>
  <c r="A1068" i="2"/>
  <c r="J1067" i="2"/>
  <c r="A1067" i="2"/>
  <c r="J1066" i="2"/>
  <c r="A1066" i="2"/>
  <c r="J1065" i="2"/>
  <c r="A1065" i="2"/>
  <c r="J1064" i="2"/>
  <c r="A1064" i="2"/>
  <c r="J1063" i="2"/>
  <c r="A1063" i="2"/>
  <c r="J1062" i="2"/>
  <c r="A1062" i="2"/>
  <c r="J1061" i="2"/>
  <c r="A1061" i="2"/>
  <c r="J1060" i="2"/>
  <c r="A1060" i="2"/>
  <c r="J1059" i="2"/>
  <c r="A1059" i="2"/>
  <c r="J1058" i="2"/>
  <c r="A1058" i="2"/>
  <c r="J1057" i="2"/>
  <c r="A1057" i="2"/>
  <c r="J1056" i="2"/>
  <c r="A1056" i="2"/>
  <c r="J1055" i="2"/>
  <c r="A1055" i="2"/>
  <c r="J1054" i="2"/>
  <c r="A1054" i="2"/>
  <c r="J1053" i="2"/>
  <c r="A1053" i="2"/>
  <c r="J1052" i="2"/>
  <c r="A1052" i="2"/>
  <c r="J1051" i="2"/>
  <c r="A1051" i="2"/>
  <c r="J1050" i="2"/>
  <c r="A1050" i="2"/>
  <c r="J1049" i="2"/>
  <c r="A1049" i="2"/>
  <c r="J1048" i="2"/>
  <c r="A1048" i="2"/>
  <c r="J1047" i="2"/>
  <c r="A1047" i="2"/>
  <c r="J1046" i="2"/>
  <c r="A1046" i="2"/>
  <c r="J1045" i="2"/>
  <c r="A1045" i="2"/>
  <c r="J1044" i="2"/>
  <c r="A1044" i="2"/>
  <c r="J1043" i="2"/>
  <c r="A1043" i="2"/>
  <c r="J1042" i="2"/>
  <c r="A1042" i="2"/>
  <c r="J1041" i="2"/>
  <c r="A1041" i="2"/>
  <c r="J1040" i="2"/>
  <c r="A1040" i="2"/>
  <c r="J1039" i="2"/>
  <c r="A1039" i="2"/>
  <c r="J1038" i="2"/>
  <c r="A1038" i="2"/>
  <c r="J1037" i="2"/>
  <c r="A1037" i="2"/>
  <c r="J1036" i="2"/>
  <c r="A1036" i="2"/>
  <c r="J1035" i="2"/>
  <c r="A1035" i="2"/>
  <c r="J1034" i="2"/>
  <c r="A1034" i="2"/>
  <c r="J1033" i="2"/>
  <c r="A1033" i="2"/>
  <c r="J1032" i="2"/>
  <c r="A1032" i="2"/>
  <c r="J1031" i="2"/>
  <c r="A1031" i="2"/>
  <c r="J1030" i="2"/>
  <c r="A1030" i="2"/>
  <c r="J1029" i="2"/>
  <c r="A1029" i="2"/>
  <c r="J1028" i="2"/>
  <c r="A1028" i="2"/>
  <c r="J1027" i="2"/>
  <c r="A1027" i="2"/>
  <c r="J1026" i="2"/>
  <c r="A1026" i="2"/>
  <c r="J1025" i="2"/>
  <c r="A1025" i="2"/>
  <c r="J1024" i="2"/>
  <c r="A1024" i="2"/>
  <c r="J1023" i="2"/>
  <c r="A1023" i="2"/>
  <c r="J1022" i="2"/>
  <c r="A1022" i="2"/>
  <c r="J1021" i="2"/>
  <c r="A1021" i="2"/>
  <c r="J1020" i="2"/>
  <c r="A1020" i="2"/>
  <c r="J1019" i="2"/>
  <c r="A1019" i="2"/>
  <c r="J1018" i="2"/>
  <c r="A1018" i="2"/>
  <c r="J1017" i="2"/>
  <c r="A1017" i="2"/>
  <c r="J1016" i="2"/>
  <c r="A1016" i="2"/>
  <c r="J1015" i="2"/>
  <c r="A1015" i="2"/>
  <c r="J1014" i="2"/>
  <c r="A1014" i="2"/>
  <c r="J1013" i="2"/>
  <c r="A1013" i="2"/>
  <c r="J1012" i="2"/>
  <c r="A1012" i="2"/>
  <c r="J1011" i="2"/>
  <c r="A1011" i="2"/>
  <c r="J1010" i="2"/>
  <c r="A1010" i="2"/>
  <c r="J1009" i="2"/>
  <c r="A1009" i="2"/>
  <c r="J1008" i="2"/>
  <c r="A1008" i="2"/>
  <c r="J1007" i="2"/>
  <c r="A1007" i="2"/>
  <c r="J1006" i="2"/>
  <c r="A1006" i="2"/>
  <c r="J1005" i="2"/>
  <c r="A1005" i="2"/>
  <c r="J1004" i="2"/>
  <c r="A1004" i="2"/>
  <c r="J1003" i="2"/>
  <c r="A1003" i="2"/>
  <c r="J1002" i="2"/>
  <c r="A1002" i="2"/>
  <c r="J1001" i="2"/>
  <c r="A1001" i="2"/>
  <c r="J1000" i="2"/>
  <c r="A1000" i="2"/>
  <c r="J999" i="2"/>
  <c r="A999" i="2"/>
  <c r="J998" i="2"/>
  <c r="A998" i="2"/>
  <c r="J997" i="2"/>
  <c r="A997" i="2"/>
  <c r="J996" i="2"/>
  <c r="A996" i="2"/>
  <c r="J995" i="2"/>
  <c r="A995" i="2"/>
  <c r="J994" i="2"/>
  <c r="A994" i="2"/>
  <c r="J993" i="2"/>
  <c r="A993" i="2"/>
  <c r="J992" i="2"/>
  <c r="A992" i="2"/>
  <c r="J991" i="2"/>
  <c r="A991" i="2"/>
  <c r="J990" i="2"/>
  <c r="A990" i="2"/>
  <c r="J989" i="2"/>
  <c r="A989" i="2"/>
  <c r="J988" i="2"/>
  <c r="A988" i="2"/>
  <c r="J987" i="2"/>
  <c r="A987" i="2"/>
  <c r="J986" i="2"/>
  <c r="A986" i="2"/>
  <c r="J985" i="2"/>
  <c r="A985" i="2"/>
  <c r="J984" i="2"/>
  <c r="A984" i="2"/>
  <c r="J983" i="2"/>
  <c r="A983" i="2"/>
  <c r="J982" i="2"/>
  <c r="A982" i="2"/>
  <c r="J981" i="2"/>
  <c r="A981" i="2"/>
  <c r="J980" i="2"/>
  <c r="A980" i="2"/>
  <c r="J979" i="2"/>
  <c r="A979" i="2"/>
  <c r="J978" i="2"/>
  <c r="A978" i="2"/>
  <c r="J977" i="2"/>
  <c r="A977" i="2"/>
  <c r="J976" i="2"/>
  <c r="A976" i="2"/>
  <c r="J975" i="2"/>
  <c r="A975" i="2"/>
  <c r="J974" i="2"/>
  <c r="A974" i="2"/>
  <c r="J973" i="2"/>
  <c r="A973" i="2"/>
  <c r="J972" i="2"/>
  <c r="A972" i="2"/>
  <c r="J971" i="2"/>
  <c r="A971" i="2"/>
  <c r="J970" i="2"/>
  <c r="A970" i="2"/>
  <c r="J969" i="2"/>
  <c r="A969" i="2"/>
  <c r="J968" i="2"/>
  <c r="A968" i="2"/>
  <c r="J967" i="2"/>
  <c r="A967" i="2"/>
  <c r="J966" i="2"/>
  <c r="A966" i="2"/>
  <c r="J965" i="2"/>
  <c r="A965" i="2"/>
  <c r="J964" i="2"/>
  <c r="A964" i="2"/>
  <c r="J963" i="2"/>
  <c r="A963" i="2"/>
  <c r="J962" i="2"/>
  <c r="A962" i="2"/>
  <c r="J961" i="2"/>
  <c r="A961" i="2"/>
  <c r="J960" i="2"/>
  <c r="A960" i="2"/>
  <c r="J959" i="2"/>
  <c r="A959" i="2"/>
  <c r="J958" i="2"/>
  <c r="A958" i="2"/>
  <c r="J957" i="2"/>
  <c r="A957" i="2"/>
  <c r="J956" i="2"/>
  <c r="A956" i="2"/>
  <c r="J955" i="2"/>
  <c r="A955" i="2"/>
  <c r="J954" i="2"/>
  <c r="A954" i="2"/>
  <c r="J953" i="2"/>
  <c r="A953" i="2"/>
  <c r="J952" i="2"/>
  <c r="A952" i="2"/>
  <c r="J951" i="2"/>
  <c r="A951" i="2"/>
  <c r="J950" i="2"/>
  <c r="A950" i="2"/>
  <c r="J949" i="2"/>
  <c r="A949" i="2"/>
  <c r="J948" i="2"/>
  <c r="A948" i="2"/>
  <c r="J947" i="2"/>
  <c r="A947" i="2"/>
  <c r="J946" i="2"/>
  <c r="A946" i="2"/>
  <c r="J945" i="2"/>
  <c r="A945" i="2"/>
  <c r="J944" i="2"/>
  <c r="A944" i="2"/>
  <c r="J943" i="2"/>
  <c r="A943" i="2"/>
  <c r="J942" i="2"/>
  <c r="A942" i="2"/>
  <c r="J941" i="2"/>
  <c r="A941" i="2"/>
  <c r="J940" i="2"/>
  <c r="A940" i="2"/>
  <c r="J939" i="2"/>
  <c r="A939" i="2"/>
  <c r="J938" i="2"/>
  <c r="A938" i="2"/>
  <c r="J937" i="2"/>
  <c r="A937" i="2"/>
  <c r="J936" i="2"/>
  <c r="A936" i="2"/>
  <c r="J935" i="2"/>
  <c r="A935" i="2"/>
  <c r="J934" i="2"/>
  <c r="A934" i="2"/>
  <c r="J933" i="2"/>
  <c r="A933" i="2"/>
  <c r="J932" i="2"/>
  <c r="A932" i="2"/>
  <c r="J931" i="2"/>
  <c r="A931" i="2"/>
  <c r="J930" i="2"/>
  <c r="A930" i="2"/>
  <c r="J929" i="2"/>
  <c r="A929" i="2"/>
  <c r="J928" i="2"/>
  <c r="A928" i="2"/>
  <c r="J927" i="2"/>
  <c r="A927" i="2"/>
  <c r="J926" i="2"/>
  <c r="A926" i="2"/>
  <c r="J925" i="2"/>
  <c r="A925" i="2"/>
  <c r="J924" i="2"/>
  <c r="A924" i="2"/>
  <c r="J923" i="2"/>
  <c r="A923" i="2"/>
  <c r="J922" i="2"/>
  <c r="A922" i="2"/>
  <c r="J921" i="2"/>
  <c r="A921" i="2"/>
  <c r="J920" i="2"/>
  <c r="A920" i="2"/>
  <c r="J919" i="2"/>
  <c r="A919" i="2"/>
  <c r="J918" i="2"/>
  <c r="A918" i="2"/>
  <c r="J917" i="2"/>
  <c r="A917" i="2"/>
  <c r="J916" i="2"/>
  <c r="A916" i="2"/>
  <c r="J915" i="2"/>
  <c r="A915" i="2"/>
  <c r="J914" i="2"/>
  <c r="A914" i="2"/>
  <c r="J913" i="2"/>
  <c r="A913" i="2"/>
  <c r="J912" i="2"/>
  <c r="A912" i="2"/>
  <c r="J911" i="2"/>
  <c r="A911" i="2"/>
  <c r="J910" i="2"/>
  <c r="A910" i="2"/>
  <c r="J909" i="2"/>
  <c r="A909" i="2"/>
  <c r="J908" i="2"/>
  <c r="A908" i="2"/>
  <c r="J907" i="2"/>
  <c r="A907" i="2"/>
  <c r="J906" i="2"/>
  <c r="A906" i="2"/>
  <c r="J905" i="2"/>
  <c r="A905" i="2"/>
  <c r="J904" i="2"/>
  <c r="A904" i="2"/>
  <c r="J903" i="2"/>
  <c r="A903" i="2"/>
  <c r="J902" i="2"/>
  <c r="A902" i="2"/>
  <c r="J901" i="2"/>
  <c r="A901" i="2"/>
  <c r="J900" i="2"/>
  <c r="A900" i="2"/>
  <c r="J899" i="2"/>
  <c r="A899" i="2"/>
  <c r="J898" i="2"/>
  <c r="A898" i="2"/>
  <c r="J897" i="2"/>
  <c r="A897" i="2"/>
  <c r="J896" i="2"/>
  <c r="A896" i="2"/>
  <c r="J895" i="2"/>
  <c r="A895" i="2"/>
  <c r="J894" i="2"/>
  <c r="A894" i="2"/>
  <c r="J893" i="2"/>
  <c r="A893" i="2"/>
  <c r="J892" i="2"/>
  <c r="A892" i="2"/>
  <c r="J891" i="2"/>
  <c r="A891" i="2"/>
  <c r="J890" i="2"/>
  <c r="A890" i="2"/>
  <c r="J889" i="2"/>
  <c r="A889" i="2"/>
  <c r="J888" i="2"/>
  <c r="A888" i="2"/>
  <c r="J887" i="2"/>
  <c r="A887" i="2"/>
  <c r="J886" i="2"/>
  <c r="A886" i="2"/>
  <c r="J885" i="2"/>
  <c r="A885" i="2"/>
  <c r="J884" i="2"/>
  <c r="A884" i="2"/>
  <c r="J883" i="2"/>
  <c r="A883" i="2"/>
  <c r="J882" i="2"/>
  <c r="A882" i="2"/>
  <c r="J881" i="2"/>
  <c r="A881" i="2"/>
  <c r="J880" i="2"/>
  <c r="A880" i="2"/>
  <c r="J879" i="2"/>
  <c r="A879" i="2"/>
  <c r="J878" i="2"/>
  <c r="A878" i="2"/>
  <c r="J877" i="2"/>
  <c r="A877" i="2"/>
  <c r="J876" i="2"/>
  <c r="A876" i="2"/>
  <c r="J875" i="2"/>
  <c r="A875" i="2"/>
  <c r="J874" i="2"/>
  <c r="A874" i="2"/>
  <c r="J873" i="2"/>
  <c r="A873" i="2"/>
  <c r="J872" i="2"/>
  <c r="A872" i="2"/>
  <c r="J871" i="2"/>
  <c r="A871" i="2"/>
  <c r="J870" i="2"/>
  <c r="A870" i="2"/>
  <c r="J869" i="2"/>
  <c r="A869" i="2"/>
  <c r="J868" i="2"/>
  <c r="A868" i="2"/>
  <c r="J867" i="2"/>
  <c r="A867" i="2"/>
  <c r="J866" i="2"/>
  <c r="A866" i="2"/>
  <c r="J865" i="2"/>
  <c r="A865" i="2"/>
  <c r="J864" i="2"/>
  <c r="A864" i="2"/>
  <c r="J863" i="2"/>
  <c r="A863" i="2"/>
  <c r="J862" i="2"/>
  <c r="A862" i="2"/>
  <c r="J861" i="2"/>
  <c r="A861" i="2"/>
  <c r="J860" i="2"/>
  <c r="A860" i="2"/>
  <c r="J859" i="2"/>
  <c r="A859" i="2"/>
  <c r="J858" i="2"/>
  <c r="A858" i="2"/>
  <c r="J857" i="2"/>
  <c r="A857" i="2"/>
  <c r="J856" i="2"/>
  <c r="A856" i="2"/>
  <c r="J855" i="2"/>
  <c r="A855" i="2"/>
  <c r="J854" i="2"/>
  <c r="A854" i="2"/>
  <c r="J853" i="2"/>
  <c r="A853" i="2"/>
  <c r="J852" i="2"/>
  <c r="A852" i="2"/>
  <c r="J851" i="2"/>
  <c r="A851" i="2"/>
  <c r="J850" i="2"/>
  <c r="A850" i="2"/>
  <c r="J849" i="2"/>
  <c r="A849" i="2"/>
  <c r="J848" i="2"/>
  <c r="A848" i="2"/>
  <c r="J847" i="2"/>
  <c r="A847" i="2"/>
  <c r="J846" i="2"/>
  <c r="A846" i="2"/>
  <c r="J845" i="2"/>
  <c r="A845" i="2"/>
  <c r="J844" i="2"/>
  <c r="A844" i="2"/>
  <c r="J843" i="2"/>
  <c r="A843" i="2"/>
  <c r="J842" i="2"/>
  <c r="A842" i="2"/>
  <c r="J841" i="2"/>
  <c r="A841" i="2"/>
  <c r="J840" i="2"/>
  <c r="A840" i="2"/>
  <c r="J839" i="2"/>
  <c r="A839" i="2"/>
  <c r="J838" i="2"/>
  <c r="A838" i="2"/>
  <c r="J837" i="2"/>
  <c r="A837" i="2"/>
  <c r="J836" i="2"/>
  <c r="A836" i="2"/>
  <c r="J835" i="2"/>
  <c r="A835" i="2"/>
  <c r="J834" i="2"/>
  <c r="A834" i="2"/>
  <c r="J833" i="2"/>
  <c r="A833" i="2"/>
  <c r="J832" i="2"/>
  <c r="A832" i="2"/>
  <c r="J831" i="2"/>
  <c r="A831" i="2"/>
  <c r="J830" i="2"/>
  <c r="A830" i="2"/>
  <c r="J829" i="2"/>
  <c r="A829" i="2"/>
  <c r="J828" i="2"/>
  <c r="A828" i="2"/>
  <c r="J827" i="2"/>
  <c r="A827" i="2"/>
  <c r="J826" i="2"/>
  <c r="A826" i="2"/>
  <c r="J825" i="2"/>
  <c r="A825" i="2"/>
  <c r="J824" i="2"/>
  <c r="A824" i="2"/>
  <c r="J823" i="2"/>
  <c r="A823" i="2"/>
  <c r="J822" i="2"/>
  <c r="A822" i="2"/>
  <c r="J821" i="2"/>
  <c r="A821" i="2"/>
  <c r="J820" i="2"/>
  <c r="A820" i="2"/>
  <c r="J819" i="2"/>
  <c r="A819" i="2"/>
  <c r="J818" i="2"/>
  <c r="A818" i="2"/>
  <c r="J817" i="2"/>
  <c r="A817" i="2"/>
  <c r="J816" i="2"/>
  <c r="A816" i="2"/>
  <c r="J815" i="2"/>
  <c r="A815" i="2"/>
  <c r="J814" i="2"/>
  <c r="A814" i="2"/>
  <c r="J813" i="2"/>
  <c r="A813" i="2"/>
  <c r="J812" i="2"/>
  <c r="A812" i="2"/>
  <c r="J811" i="2"/>
  <c r="A811" i="2"/>
  <c r="J810" i="2"/>
  <c r="A810" i="2"/>
  <c r="J809" i="2"/>
  <c r="A809" i="2"/>
  <c r="J808" i="2"/>
  <c r="A808" i="2"/>
  <c r="J807" i="2"/>
  <c r="A807" i="2"/>
  <c r="J806" i="2"/>
  <c r="A806" i="2"/>
  <c r="J805" i="2"/>
  <c r="A805" i="2"/>
  <c r="J804" i="2"/>
  <c r="A804" i="2"/>
  <c r="J803" i="2"/>
  <c r="A803" i="2"/>
  <c r="J802" i="2"/>
  <c r="A802" i="2"/>
  <c r="J801" i="2"/>
  <c r="A801" i="2"/>
  <c r="J800" i="2"/>
  <c r="A800" i="2"/>
  <c r="J799" i="2"/>
  <c r="A799" i="2"/>
  <c r="J798" i="2"/>
  <c r="A798" i="2"/>
  <c r="J797" i="2"/>
  <c r="A797" i="2"/>
  <c r="J796" i="2"/>
  <c r="A796" i="2"/>
  <c r="J795" i="2"/>
  <c r="A795" i="2"/>
  <c r="J794" i="2"/>
  <c r="A794" i="2"/>
  <c r="J793" i="2"/>
  <c r="A793" i="2"/>
  <c r="J792" i="2"/>
  <c r="A792" i="2"/>
  <c r="J791" i="2"/>
  <c r="A791" i="2"/>
  <c r="J790" i="2"/>
  <c r="A790" i="2"/>
  <c r="J789" i="2"/>
  <c r="A789" i="2"/>
  <c r="J788" i="2"/>
  <c r="A788" i="2"/>
  <c r="J787" i="2"/>
  <c r="A787" i="2"/>
  <c r="J786" i="2"/>
  <c r="A786" i="2"/>
  <c r="J785" i="2"/>
  <c r="A785" i="2"/>
  <c r="J784" i="2"/>
  <c r="A784" i="2"/>
  <c r="J783" i="2"/>
  <c r="A783" i="2"/>
  <c r="J782" i="2"/>
  <c r="A782" i="2"/>
  <c r="J781" i="2"/>
  <c r="A781" i="2"/>
  <c r="J780" i="2"/>
  <c r="A780" i="2"/>
  <c r="J779" i="2"/>
  <c r="A779" i="2"/>
  <c r="J778" i="2"/>
  <c r="A778" i="2"/>
  <c r="J777" i="2"/>
  <c r="A777" i="2"/>
  <c r="J776" i="2"/>
  <c r="A776" i="2"/>
  <c r="J775" i="2"/>
  <c r="A775" i="2"/>
  <c r="J774" i="2"/>
  <c r="A774" i="2"/>
  <c r="J773" i="2"/>
  <c r="A773" i="2"/>
  <c r="J772" i="2"/>
  <c r="A772" i="2"/>
  <c r="J771" i="2"/>
  <c r="A771" i="2"/>
  <c r="J770" i="2"/>
  <c r="A770" i="2"/>
  <c r="J769" i="2"/>
  <c r="A769" i="2"/>
  <c r="J768" i="2"/>
  <c r="A768" i="2"/>
  <c r="J767" i="2"/>
  <c r="A767" i="2"/>
  <c r="J766" i="2"/>
  <c r="A766" i="2"/>
  <c r="J765" i="2"/>
  <c r="A765" i="2"/>
  <c r="J764" i="2"/>
  <c r="A764" i="2"/>
  <c r="J763" i="2"/>
  <c r="A763" i="2"/>
  <c r="J762" i="2"/>
  <c r="A762" i="2"/>
  <c r="J761" i="2"/>
  <c r="A761" i="2"/>
  <c r="J760" i="2"/>
  <c r="A760" i="2"/>
  <c r="J759" i="2"/>
  <c r="A759" i="2"/>
  <c r="J758" i="2"/>
  <c r="A758" i="2"/>
  <c r="J757" i="2"/>
  <c r="A757" i="2"/>
  <c r="J756" i="2"/>
  <c r="A756" i="2"/>
  <c r="J755" i="2"/>
  <c r="A755" i="2"/>
  <c r="J754" i="2"/>
  <c r="A754" i="2"/>
  <c r="J753" i="2"/>
  <c r="A753" i="2"/>
  <c r="J752" i="2"/>
  <c r="A752" i="2"/>
  <c r="J751" i="2"/>
  <c r="A751" i="2"/>
  <c r="J750" i="2"/>
  <c r="A750" i="2"/>
  <c r="J749" i="2"/>
  <c r="A749" i="2"/>
  <c r="J748" i="2"/>
  <c r="A748" i="2"/>
  <c r="J747" i="2"/>
  <c r="A747" i="2"/>
  <c r="J746" i="2"/>
  <c r="A746" i="2"/>
  <c r="J745" i="2"/>
  <c r="A745" i="2"/>
  <c r="J744" i="2"/>
  <c r="A744" i="2"/>
  <c r="J743" i="2"/>
  <c r="A743" i="2"/>
  <c r="J742" i="2"/>
  <c r="A742" i="2"/>
  <c r="J741" i="2"/>
  <c r="A741" i="2"/>
  <c r="J740" i="2"/>
  <c r="A740" i="2"/>
  <c r="J739" i="2"/>
  <c r="A739" i="2"/>
  <c r="J738" i="2"/>
  <c r="A738" i="2"/>
  <c r="J737" i="2"/>
  <c r="A737" i="2"/>
  <c r="J736" i="2"/>
  <c r="A736" i="2"/>
  <c r="J735" i="2"/>
  <c r="A735" i="2"/>
  <c r="J734" i="2"/>
  <c r="A734" i="2"/>
  <c r="J733" i="2"/>
  <c r="A733" i="2"/>
  <c r="J732" i="2"/>
  <c r="A732" i="2"/>
  <c r="J731" i="2"/>
  <c r="A731" i="2"/>
  <c r="J730" i="2"/>
  <c r="A730" i="2"/>
  <c r="J729" i="2"/>
  <c r="A729" i="2"/>
  <c r="J728" i="2"/>
  <c r="A728" i="2"/>
  <c r="J727" i="2"/>
  <c r="A727" i="2"/>
  <c r="J726" i="2"/>
  <c r="A726" i="2"/>
  <c r="J725" i="2"/>
  <c r="A725" i="2"/>
  <c r="J724" i="2"/>
  <c r="A724" i="2"/>
  <c r="J723" i="2"/>
  <c r="A723" i="2"/>
  <c r="J722" i="2"/>
  <c r="A722" i="2"/>
  <c r="J721" i="2"/>
  <c r="A721" i="2"/>
  <c r="J720" i="2"/>
  <c r="A720" i="2"/>
  <c r="J719" i="2"/>
  <c r="A719" i="2"/>
  <c r="J718" i="2"/>
  <c r="A718" i="2"/>
  <c r="J717" i="2"/>
  <c r="A717" i="2"/>
  <c r="J716" i="2"/>
  <c r="A716" i="2"/>
  <c r="J715" i="2"/>
  <c r="A715" i="2"/>
  <c r="J714" i="2"/>
  <c r="A714" i="2"/>
  <c r="J713" i="2"/>
  <c r="A713" i="2"/>
  <c r="J712" i="2"/>
  <c r="A712" i="2"/>
  <c r="J711" i="2"/>
  <c r="A711" i="2"/>
  <c r="J710" i="2"/>
  <c r="A710" i="2"/>
  <c r="J709" i="2"/>
  <c r="A709" i="2"/>
  <c r="J708" i="2"/>
  <c r="A708" i="2"/>
  <c r="J707" i="2"/>
  <c r="A707" i="2"/>
  <c r="J706" i="2"/>
  <c r="A706" i="2"/>
  <c r="J705" i="2"/>
  <c r="A705" i="2"/>
  <c r="J704" i="2"/>
  <c r="A704" i="2"/>
  <c r="J703" i="2"/>
  <c r="A703" i="2"/>
  <c r="J702" i="2"/>
  <c r="A702" i="2"/>
  <c r="J701" i="2"/>
  <c r="A701" i="2"/>
  <c r="J700" i="2"/>
  <c r="A700" i="2"/>
  <c r="J699" i="2"/>
  <c r="A699" i="2"/>
  <c r="J698" i="2"/>
  <c r="A698" i="2"/>
  <c r="J697" i="2"/>
  <c r="A697" i="2"/>
  <c r="J696" i="2"/>
  <c r="A696" i="2"/>
  <c r="J695" i="2"/>
  <c r="A695" i="2"/>
  <c r="J694" i="2"/>
  <c r="A694" i="2"/>
  <c r="J693" i="2"/>
  <c r="A693" i="2"/>
  <c r="J692" i="2"/>
  <c r="A692" i="2"/>
  <c r="J691" i="2"/>
  <c r="A691" i="2"/>
  <c r="J690" i="2"/>
  <c r="A690" i="2"/>
  <c r="J689" i="2"/>
  <c r="A689" i="2"/>
  <c r="J688" i="2"/>
  <c r="A688" i="2"/>
  <c r="J687" i="2"/>
  <c r="A687" i="2"/>
  <c r="J686" i="2"/>
  <c r="A686" i="2"/>
  <c r="J685" i="2"/>
  <c r="A685" i="2"/>
  <c r="J684" i="2"/>
  <c r="A684" i="2"/>
  <c r="J683" i="2"/>
  <c r="A683" i="2"/>
  <c r="J682" i="2"/>
  <c r="A682" i="2"/>
  <c r="J681" i="2"/>
  <c r="A681" i="2"/>
  <c r="J680" i="2"/>
  <c r="A680" i="2"/>
  <c r="J679" i="2"/>
  <c r="A679" i="2"/>
  <c r="J678" i="2"/>
  <c r="A678" i="2"/>
  <c r="J677" i="2"/>
  <c r="A677" i="2"/>
  <c r="J676" i="2"/>
  <c r="A676" i="2"/>
  <c r="J675" i="2"/>
  <c r="A675" i="2"/>
  <c r="J674" i="2"/>
  <c r="A674" i="2"/>
  <c r="J673" i="2"/>
  <c r="A673" i="2"/>
  <c r="J672" i="2"/>
  <c r="A672" i="2"/>
  <c r="J671" i="2"/>
  <c r="A671" i="2"/>
  <c r="J670" i="2"/>
  <c r="A670" i="2"/>
  <c r="J669" i="2"/>
  <c r="A669" i="2"/>
  <c r="J668" i="2"/>
  <c r="A668" i="2"/>
  <c r="J667" i="2"/>
  <c r="A667" i="2"/>
  <c r="J666" i="2"/>
  <c r="A666" i="2"/>
  <c r="J665" i="2"/>
  <c r="A665" i="2"/>
  <c r="J664" i="2"/>
  <c r="A664" i="2"/>
  <c r="J663" i="2"/>
  <c r="A663" i="2"/>
  <c r="J662" i="2"/>
  <c r="A662" i="2"/>
  <c r="J661" i="2"/>
  <c r="A661" i="2"/>
  <c r="J660" i="2"/>
  <c r="A660" i="2"/>
  <c r="J659" i="2"/>
  <c r="A659" i="2"/>
  <c r="J658" i="2"/>
  <c r="A658" i="2"/>
  <c r="J657" i="2"/>
  <c r="A657" i="2"/>
  <c r="J656" i="2"/>
  <c r="A656" i="2"/>
  <c r="J655" i="2"/>
  <c r="A655" i="2"/>
  <c r="J654" i="2"/>
  <c r="A654" i="2"/>
  <c r="J653" i="2"/>
  <c r="A653" i="2"/>
  <c r="J652" i="2"/>
  <c r="A652" i="2"/>
  <c r="J651" i="2"/>
  <c r="A651" i="2"/>
  <c r="J650" i="2"/>
  <c r="A650" i="2"/>
  <c r="J649" i="2"/>
  <c r="A649" i="2"/>
  <c r="J648" i="2"/>
  <c r="A648" i="2"/>
  <c r="J647" i="2"/>
  <c r="A647" i="2"/>
  <c r="J646" i="2"/>
  <c r="A646" i="2"/>
  <c r="J645" i="2"/>
  <c r="A645" i="2"/>
  <c r="J644" i="2"/>
  <c r="A644" i="2"/>
  <c r="J643" i="2"/>
  <c r="A643" i="2"/>
  <c r="J642" i="2"/>
  <c r="A642" i="2"/>
  <c r="J641" i="2"/>
  <c r="A641" i="2"/>
  <c r="J640" i="2"/>
  <c r="A640" i="2"/>
  <c r="J639" i="2"/>
  <c r="A639" i="2"/>
  <c r="J638" i="2"/>
  <c r="A638" i="2"/>
  <c r="J637" i="2"/>
  <c r="A637" i="2"/>
  <c r="J636" i="2"/>
  <c r="A636" i="2"/>
  <c r="J635" i="2"/>
  <c r="A635" i="2"/>
  <c r="J634" i="2"/>
  <c r="A634" i="2"/>
  <c r="J633" i="2"/>
  <c r="A633" i="2"/>
  <c r="J632" i="2"/>
  <c r="A632" i="2"/>
  <c r="J631" i="2"/>
  <c r="A631" i="2"/>
  <c r="J630" i="2"/>
  <c r="A630" i="2"/>
  <c r="J629" i="2"/>
  <c r="A629" i="2"/>
  <c r="J628" i="2"/>
  <c r="A628" i="2"/>
  <c r="J627" i="2"/>
  <c r="A627" i="2"/>
  <c r="J626" i="2"/>
  <c r="A626" i="2"/>
  <c r="J625" i="2"/>
  <c r="A625" i="2"/>
  <c r="J624" i="2"/>
  <c r="A624" i="2"/>
  <c r="J623" i="2"/>
  <c r="A623" i="2"/>
  <c r="J622" i="2"/>
  <c r="A622" i="2"/>
  <c r="J621" i="2"/>
  <c r="A621" i="2"/>
  <c r="J620" i="2"/>
  <c r="A620" i="2"/>
  <c r="J619" i="2"/>
  <c r="A619" i="2"/>
  <c r="J618" i="2"/>
  <c r="A618" i="2"/>
  <c r="J617" i="2"/>
  <c r="A617" i="2"/>
  <c r="J616" i="2"/>
  <c r="A616" i="2"/>
  <c r="J615" i="2"/>
  <c r="A615" i="2"/>
  <c r="J614" i="2"/>
  <c r="A614" i="2"/>
  <c r="J613" i="2"/>
  <c r="A613" i="2"/>
  <c r="J612" i="2"/>
  <c r="A612" i="2"/>
  <c r="J611" i="2"/>
  <c r="A611" i="2"/>
  <c r="J610" i="2"/>
  <c r="A610" i="2"/>
  <c r="J609" i="2"/>
  <c r="A609" i="2"/>
  <c r="J608" i="2"/>
  <c r="A608" i="2"/>
  <c r="J607" i="2"/>
  <c r="A607" i="2"/>
  <c r="J606" i="2"/>
  <c r="A606" i="2"/>
  <c r="J605" i="2"/>
  <c r="A605" i="2"/>
  <c r="J604" i="2"/>
  <c r="A604" i="2"/>
  <c r="J603" i="2"/>
  <c r="A603" i="2"/>
  <c r="J602" i="2"/>
  <c r="A602" i="2"/>
  <c r="J601" i="2"/>
  <c r="A601" i="2"/>
  <c r="J600" i="2"/>
  <c r="A600" i="2"/>
  <c r="J599" i="2"/>
  <c r="A599" i="2"/>
  <c r="J598" i="2"/>
  <c r="A598" i="2"/>
  <c r="J597" i="2"/>
  <c r="A597" i="2"/>
  <c r="J596" i="2"/>
  <c r="A596" i="2"/>
  <c r="J595" i="2"/>
  <c r="A595" i="2"/>
  <c r="J594" i="2"/>
  <c r="A594" i="2"/>
  <c r="J593" i="2"/>
  <c r="A593" i="2"/>
  <c r="J592" i="2"/>
  <c r="A592" i="2"/>
  <c r="J591" i="2"/>
  <c r="A591" i="2"/>
  <c r="J590" i="2"/>
  <c r="A590" i="2"/>
  <c r="J589" i="2"/>
  <c r="A589" i="2"/>
  <c r="J588" i="2"/>
  <c r="A588" i="2"/>
  <c r="J587" i="2"/>
  <c r="A587" i="2"/>
  <c r="J586" i="2"/>
  <c r="A586" i="2"/>
  <c r="J585" i="2"/>
  <c r="A585" i="2"/>
  <c r="J584" i="2"/>
  <c r="A584" i="2"/>
  <c r="J583" i="2"/>
  <c r="A583" i="2"/>
  <c r="J582" i="2"/>
  <c r="A582" i="2"/>
  <c r="J581" i="2"/>
  <c r="A581" i="2"/>
  <c r="J580" i="2"/>
  <c r="A580" i="2"/>
  <c r="J579" i="2"/>
  <c r="A579" i="2"/>
  <c r="J578" i="2"/>
  <c r="A578" i="2"/>
  <c r="J577" i="2"/>
  <c r="A577" i="2"/>
  <c r="J576" i="2"/>
  <c r="A576" i="2"/>
  <c r="J575" i="2"/>
  <c r="A575" i="2"/>
  <c r="J574" i="2"/>
  <c r="A574" i="2"/>
  <c r="J573" i="2"/>
  <c r="A573" i="2"/>
  <c r="J572" i="2"/>
  <c r="A572" i="2"/>
  <c r="J571" i="2"/>
  <c r="A571" i="2"/>
  <c r="J570" i="2"/>
  <c r="A570" i="2"/>
  <c r="J569" i="2"/>
  <c r="A569" i="2"/>
  <c r="J568" i="2"/>
  <c r="A568" i="2"/>
  <c r="J567" i="2"/>
  <c r="A567" i="2"/>
  <c r="J566" i="2"/>
  <c r="A566" i="2"/>
  <c r="J565" i="2"/>
  <c r="A565" i="2"/>
  <c r="J564" i="2"/>
  <c r="A564" i="2"/>
  <c r="J563" i="2"/>
  <c r="A563" i="2"/>
  <c r="J562" i="2"/>
  <c r="A562" i="2"/>
  <c r="J561" i="2"/>
  <c r="A561" i="2"/>
  <c r="J560" i="2"/>
  <c r="A560" i="2"/>
  <c r="J559" i="2"/>
  <c r="A559" i="2"/>
  <c r="J558" i="2"/>
  <c r="A558" i="2"/>
  <c r="J557" i="2"/>
  <c r="A557" i="2"/>
  <c r="J556" i="2"/>
  <c r="A556" i="2"/>
  <c r="J555" i="2"/>
  <c r="A555" i="2"/>
  <c r="J554" i="2"/>
  <c r="A554" i="2"/>
  <c r="J553" i="2"/>
  <c r="A553" i="2"/>
  <c r="J552" i="2"/>
  <c r="A552" i="2"/>
  <c r="J551" i="2"/>
  <c r="A551" i="2"/>
  <c r="J550" i="2"/>
  <c r="A550" i="2"/>
  <c r="J549" i="2"/>
  <c r="A549" i="2"/>
  <c r="J548" i="2"/>
  <c r="A548" i="2"/>
  <c r="J547" i="2"/>
  <c r="A547" i="2"/>
  <c r="J546" i="2"/>
  <c r="A546" i="2"/>
  <c r="J545" i="2"/>
  <c r="A545" i="2"/>
  <c r="J544" i="2"/>
  <c r="A544" i="2"/>
  <c r="J543" i="2"/>
  <c r="A543" i="2"/>
  <c r="J542" i="2"/>
  <c r="A542" i="2"/>
  <c r="J541" i="2"/>
  <c r="A541" i="2"/>
  <c r="J540" i="2"/>
  <c r="A540" i="2"/>
  <c r="J539" i="2"/>
  <c r="A539" i="2"/>
  <c r="J538" i="2"/>
  <c r="A538" i="2"/>
  <c r="J537" i="2"/>
  <c r="A537" i="2"/>
  <c r="J536" i="2"/>
  <c r="A536" i="2"/>
  <c r="J535" i="2"/>
  <c r="A535" i="2"/>
  <c r="J534" i="2"/>
  <c r="A534" i="2"/>
  <c r="J533" i="2"/>
  <c r="A533" i="2"/>
  <c r="J532" i="2"/>
  <c r="A532" i="2"/>
  <c r="J531" i="2"/>
  <c r="A531" i="2"/>
  <c r="J530" i="2"/>
  <c r="A530" i="2"/>
  <c r="J529" i="2"/>
  <c r="A529" i="2"/>
  <c r="J528" i="2"/>
  <c r="A528" i="2"/>
  <c r="J527" i="2"/>
  <c r="A527" i="2"/>
  <c r="J526" i="2"/>
  <c r="A526" i="2"/>
  <c r="J525" i="2"/>
  <c r="A525" i="2"/>
  <c r="J524" i="2"/>
  <c r="A524" i="2"/>
  <c r="J523" i="2"/>
  <c r="A523" i="2"/>
  <c r="J522" i="2"/>
  <c r="A522" i="2"/>
  <c r="J521" i="2"/>
  <c r="A521" i="2"/>
  <c r="J520" i="2"/>
  <c r="A520" i="2"/>
  <c r="J519" i="2"/>
  <c r="A519" i="2"/>
  <c r="J518" i="2"/>
  <c r="A518" i="2"/>
  <c r="J517" i="2"/>
  <c r="A517" i="2"/>
  <c r="J516" i="2"/>
  <c r="A516" i="2"/>
  <c r="J515" i="2"/>
  <c r="A515" i="2"/>
  <c r="J514" i="2"/>
  <c r="A514" i="2"/>
  <c r="J513" i="2"/>
  <c r="A513" i="2"/>
  <c r="J512" i="2"/>
  <c r="A512" i="2"/>
  <c r="J511" i="2"/>
  <c r="A511" i="2"/>
  <c r="J510" i="2"/>
  <c r="A510" i="2"/>
  <c r="J509" i="2"/>
  <c r="A509" i="2"/>
  <c r="J508" i="2"/>
  <c r="A508" i="2"/>
  <c r="J507" i="2"/>
  <c r="A507" i="2"/>
  <c r="J506" i="2"/>
  <c r="A506" i="2"/>
  <c r="J505" i="2"/>
  <c r="A505" i="2"/>
  <c r="J504" i="2"/>
  <c r="A504" i="2"/>
  <c r="J503" i="2"/>
  <c r="A503" i="2"/>
  <c r="J502" i="2"/>
  <c r="A502" i="2"/>
  <c r="J501" i="2"/>
  <c r="A501" i="2"/>
  <c r="J500" i="2"/>
  <c r="A500" i="2"/>
  <c r="J499" i="2"/>
  <c r="A499" i="2"/>
  <c r="J498" i="2"/>
  <c r="A498" i="2"/>
  <c r="J497" i="2"/>
  <c r="A497" i="2"/>
  <c r="J496" i="2"/>
  <c r="A496" i="2"/>
  <c r="J495" i="2"/>
  <c r="A495" i="2"/>
  <c r="J494" i="2"/>
  <c r="A494" i="2"/>
  <c r="J493" i="2"/>
  <c r="A493" i="2"/>
  <c r="J492" i="2"/>
  <c r="A492" i="2"/>
  <c r="J491" i="2"/>
  <c r="A491" i="2"/>
  <c r="J490" i="2"/>
  <c r="A490" i="2"/>
  <c r="J489" i="2"/>
  <c r="A489" i="2"/>
  <c r="J488" i="2"/>
  <c r="A488" i="2"/>
  <c r="J487" i="2"/>
  <c r="A487" i="2"/>
  <c r="J486" i="2"/>
  <c r="A486" i="2"/>
  <c r="J485" i="2"/>
  <c r="A485" i="2"/>
  <c r="J484" i="2"/>
  <c r="A484" i="2"/>
  <c r="J483" i="2"/>
  <c r="A483" i="2"/>
  <c r="J482" i="2"/>
  <c r="A482" i="2"/>
  <c r="J481" i="2"/>
  <c r="A481" i="2"/>
  <c r="J480" i="2"/>
  <c r="A480" i="2"/>
  <c r="J479" i="2"/>
  <c r="A479" i="2"/>
  <c r="J478" i="2"/>
  <c r="A478" i="2"/>
  <c r="J477" i="2"/>
  <c r="A477" i="2"/>
  <c r="J476" i="2"/>
  <c r="A476" i="2"/>
  <c r="J475" i="2"/>
  <c r="A475" i="2"/>
  <c r="J474" i="2"/>
  <c r="A474" i="2"/>
  <c r="J473" i="2"/>
  <c r="A473" i="2"/>
  <c r="J472" i="2"/>
  <c r="A472" i="2"/>
  <c r="J471" i="2"/>
  <c r="A471" i="2"/>
  <c r="J470" i="2"/>
  <c r="A470" i="2"/>
  <c r="J469" i="2"/>
  <c r="A469" i="2"/>
  <c r="J468" i="2"/>
  <c r="A468" i="2"/>
  <c r="J467" i="2"/>
  <c r="A467" i="2"/>
  <c r="J466" i="2"/>
  <c r="A466" i="2"/>
  <c r="J465" i="2"/>
  <c r="A465" i="2"/>
  <c r="J464" i="2"/>
  <c r="A464" i="2"/>
  <c r="J463" i="2"/>
  <c r="A463" i="2"/>
  <c r="J462" i="2"/>
  <c r="A462" i="2"/>
  <c r="J461" i="2"/>
  <c r="A461" i="2"/>
  <c r="J460" i="2"/>
  <c r="A460" i="2"/>
  <c r="J459" i="2"/>
  <c r="A459" i="2"/>
  <c r="J458" i="2"/>
  <c r="A458" i="2"/>
  <c r="J457" i="2"/>
  <c r="A457" i="2"/>
  <c r="J456" i="2"/>
  <c r="A456" i="2"/>
  <c r="J455" i="2"/>
  <c r="A455" i="2"/>
  <c r="J454" i="2"/>
  <c r="A454" i="2"/>
  <c r="J453" i="2"/>
  <c r="A453" i="2"/>
  <c r="J452" i="2"/>
  <c r="A452" i="2"/>
  <c r="J451" i="2"/>
  <c r="A451" i="2"/>
  <c r="J450" i="2"/>
  <c r="A450" i="2"/>
  <c r="J449" i="2"/>
  <c r="A449" i="2"/>
  <c r="J448" i="2"/>
  <c r="A448" i="2"/>
  <c r="J447" i="2"/>
  <c r="A447" i="2"/>
  <c r="J446" i="2"/>
  <c r="A446" i="2"/>
  <c r="J445" i="2"/>
  <c r="A445" i="2"/>
  <c r="J444" i="2"/>
  <c r="A444" i="2"/>
  <c r="J443" i="2"/>
  <c r="A443" i="2"/>
  <c r="J442" i="2"/>
  <c r="A442" i="2"/>
  <c r="J441" i="2"/>
  <c r="A441" i="2"/>
  <c r="J440" i="2"/>
  <c r="A440" i="2"/>
  <c r="J439" i="2"/>
  <c r="A439" i="2"/>
  <c r="J438" i="2"/>
  <c r="A438" i="2"/>
  <c r="J437" i="2"/>
  <c r="A437" i="2"/>
  <c r="J436" i="2"/>
  <c r="A436" i="2"/>
  <c r="J435" i="2"/>
  <c r="A435" i="2"/>
  <c r="J434" i="2"/>
  <c r="A434" i="2"/>
  <c r="J433" i="2"/>
  <c r="A433" i="2"/>
  <c r="J432" i="2"/>
  <c r="A432" i="2"/>
  <c r="J431" i="2"/>
  <c r="A431" i="2"/>
  <c r="J430" i="2"/>
  <c r="A430" i="2"/>
  <c r="J429" i="2"/>
  <c r="A429" i="2"/>
  <c r="J428" i="2"/>
  <c r="A428" i="2"/>
  <c r="J427" i="2"/>
  <c r="A427" i="2"/>
  <c r="J426" i="2"/>
  <c r="A426" i="2"/>
  <c r="J425" i="2"/>
  <c r="A425" i="2"/>
  <c r="J424" i="2"/>
  <c r="A424" i="2"/>
  <c r="J423" i="2"/>
  <c r="A423" i="2"/>
  <c r="J422" i="2"/>
  <c r="A422" i="2"/>
  <c r="J421" i="2"/>
  <c r="A421" i="2"/>
  <c r="J420" i="2"/>
  <c r="A420" i="2"/>
  <c r="J419" i="2"/>
  <c r="A419" i="2"/>
  <c r="J418" i="2"/>
  <c r="A418" i="2"/>
  <c r="J417" i="2"/>
  <c r="A417" i="2"/>
  <c r="J416" i="2"/>
  <c r="A416" i="2"/>
  <c r="J415" i="2"/>
  <c r="A415" i="2"/>
  <c r="J414" i="2"/>
  <c r="A414" i="2"/>
  <c r="J413" i="2"/>
  <c r="A413" i="2"/>
  <c r="J412" i="2"/>
  <c r="A412" i="2"/>
  <c r="J411" i="2"/>
  <c r="A411" i="2"/>
  <c r="J410" i="2"/>
  <c r="A410" i="2"/>
  <c r="J409" i="2"/>
  <c r="A409" i="2"/>
  <c r="J408" i="2"/>
  <c r="A408" i="2"/>
  <c r="J407" i="2"/>
  <c r="A407" i="2"/>
  <c r="J406" i="2"/>
  <c r="A406" i="2"/>
  <c r="J405" i="2"/>
  <c r="A405" i="2"/>
  <c r="J404" i="2"/>
  <c r="A404" i="2"/>
  <c r="J403" i="2"/>
  <c r="A403" i="2"/>
  <c r="J402" i="2"/>
  <c r="A402" i="2"/>
  <c r="J401" i="2"/>
  <c r="A401" i="2"/>
  <c r="J400" i="2"/>
  <c r="A400" i="2"/>
  <c r="J399" i="2"/>
  <c r="A399" i="2"/>
  <c r="J398" i="2"/>
  <c r="A398" i="2"/>
  <c r="J397" i="2"/>
  <c r="A397" i="2"/>
  <c r="J396" i="2"/>
  <c r="A396" i="2"/>
  <c r="J395" i="2"/>
  <c r="A395" i="2"/>
  <c r="J394" i="2"/>
  <c r="A394" i="2"/>
  <c r="J393" i="2"/>
  <c r="A393" i="2"/>
  <c r="J392" i="2"/>
  <c r="A392" i="2"/>
  <c r="J391" i="2"/>
  <c r="A391" i="2"/>
  <c r="J390" i="2"/>
  <c r="A390" i="2"/>
  <c r="J389" i="2"/>
  <c r="A389" i="2"/>
  <c r="J388" i="2"/>
  <c r="A388" i="2"/>
  <c r="J387" i="2"/>
  <c r="A387" i="2"/>
  <c r="J386" i="2"/>
  <c r="A386" i="2"/>
  <c r="J385" i="2"/>
  <c r="A385" i="2"/>
  <c r="J384" i="2"/>
  <c r="A384" i="2"/>
  <c r="J383" i="2"/>
  <c r="A383" i="2"/>
  <c r="J382" i="2"/>
  <c r="A382" i="2"/>
  <c r="J381" i="2"/>
  <c r="A381" i="2"/>
  <c r="J380" i="2"/>
  <c r="A380" i="2"/>
  <c r="J379" i="2"/>
  <c r="A379" i="2"/>
  <c r="J378" i="2"/>
  <c r="A378" i="2"/>
  <c r="J377" i="2"/>
  <c r="A377" i="2"/>
  <c r="J376" i="2"/>
  <c r="A376" i="2"/>
  <c r="J375" i="2"/>
  <c r="A375" i="2"/>
  <c r="J374" i="2"/>
  <c r="A374" i="2"/>
  <c r="J373" i="2"/>
  <c r="A373" i="2"/>
  <c r="J372" i="2"/>
  <c r="A372" i="2"/>
  <c r="J371" i="2"/>
  <c r="A371" i="2"/>
  <c r="J370" i="2"/>
  <c r="A370" i="2"/>
  <c r="J369" i="2"/>
  <c r="A369" i="2"/>
  <c r="J368" i="2"/>
  <c r="A368" i="2"/>
  <c r="J367" i="2"/>
  <c r="A367" i="2"/>
  <c r="J366" i="2"/>
  <c r="A366" i="2"/>
  <c r="J365" i="2"/>
  <c r="A365" i="2"/>
  <c r="J364" i="2"/>
  <c r="A364" i="2"/>
  <c r="J363" i="2"/>
  <c r="A363" i="2"/>
  <c r="J362" i="2"/>
  <c r="A362" i="2"/>
  <c r="J361" i="2"/>
  <c r="A361" i="2"/>
  <c r="J360" i="2"/>
  <c r="A360" i="2"/>
  <c r="J359" i="2"/>
  <c r="A359" i="2"/>
  <c r="J358" i="2"/>
  <c r="A358" i="2"/>
  <c r="J357" i="2"/>
  <c r="A357" i="2"/>
  <c r="J356" i="2"/>
  <c r="A356" i="2"/>
  <c r="J355" i="2"/>
  <c r="A355" i="2"/>
  <c r="J354" i="2"/>
  <c r="A354" i="2"/>
  <c r="J353" i="2"/>
  <c r="A353" i="2"/>
  <c r="J352" i="2"/>
  <c r="A352" i="2"/>
  <c r="J351" i="2"/>
  <c r="A351" i="2"/>
  <c r="J350" i="2"/>
  <c r="A350" i="2"/>
  <c r="J349" i="2"/>
  <c r="A349" i="2"/>
  <c r="J348" i="2"/>
  <c r="A348" i="2"/>
  <c r="J347" i="2"/>
  <c r="A347" i="2"/>
  <c r="J346" i="2"/>
  <c r="A346" i="2"/>
  <c r="J345" i="2"/>
  <c r="A345" i="2"/>
  <c r="J344" i="2"/>
  <c r="A344" i="2"/>
  <c r="J343" i="2"/>
  <c r="A343" i="2"/>
  <c r="J342" i="2"/>
  <c r="A342" i="2"/>
  <c r="J341" i="2"/>
  <c r="A341" i="2"/>
  <c r="J340" i="2"/>
  <c r="A340" i="2"/>
  <c r="J339" i="2"/>
  <c r="A339" i="2"/>
  <c r="J338" i="2"/>
  <c r="A338" i="2"/>
  <c r="J337" i="2"/>
  <c r="A337" i="2"/>
  <c r="J336" i="2"/>
  <c r="A336" i="2"/>
  <c r="J335" i="2"/>
  <c r="A335" i="2"/>
  <c r="J334" i="2"/>
  <c r="A334" i="2"/>
  <c r="J333" i="2"/>
  <c r="A333" i="2"/>
  <c r="J332" i="2"/>
  <c r="A332" i="2"/>
  <c r="J331" i="2"/>
  <c r="A331" i="2"/>
  <c r="J330" i="2"/>
  <c r="A330" i="2"/>
  <c r="J329" i="2"/>
  <c r="A329" i="2"/>
  <c r="J328" i="2"/>
  <c r="A328" i="2"/>
  <c r="J327" i="2"/>
  <c r="A327" i="2"/>
  <c r="J326" i="2"/>
  <c r="A326" i="2"/>
  <c r="J325" i="2"/>
  <c r="A325" i="2"/>
  <c r="J324" i="2"/>
  <c r="A324" i="2"/>
  <c r="J323" i="2"/>
  <c r="A323" i="2"/>
  <c r="J322" i="2"/>
  <c r="A322" i="2"/>
  <c r="J321" i="2"/>
  <c r="A321" i="2"/>
  <c r="J320" i="2"/>
  <c r="A320" i="2"/>
  <c r="J319" i="2"/>
  <c r="A319" i="2"/>
  <c r="J318" i="2"/>
  <c r="A318" i="2"/>
  <c r="J317" i="2"/>
  <c r="A317" i="2"/>
  <c r="J316" i="2"/>
  <c r="A316" i="2"/>
  <c r="J315" i="2"/>
  <c r="A315" i="2"/>
  <c r="J314" i="2"/>
  <c r="A314" i="2"/>
  <c r="J313" i="2"/>
  <c r="A313" i="2"/>
  <c r="J312" i="2"/>
  <c r="A312" i="2"/>
  <c r="J311" i="2"/>
  <c r="A311" i="2"/>
  <c r="J310" i="2"/>
  <c r="A310" i="2"/>
  <c r="J309" i="2"/>
  <c r="A309" i="2"/>
  <c r="J308" i="2"/>
  <c r="A308" i="2"/>
  <c r="J307" i="2"/>
  <c r="A307" i="2"/>
  <c r="J306" i="2"/>
  <c r="A306" i="2"/>
  <c r="J305" i="2"/>
  <c r="A305" i="2"/>
  <c r="J304" i="2"/>
  <c r="A304" i="2"/>
  <c r="J303" i="2"/>
  <c r="A303" i="2"/>
  <c r="J302" i="2"/>
  <c r="A302" i="2"/>
  <c r="J301" i="2"/>
  <c r="A301" i="2"/>
  <c r="J300" i="2"/>
  <c r="A300" i="2"/>
  <c r="J299" i="2"/>
  <c r="A299" i="2"/>
  <c r="J298" i="2"/>
  <c r="A298" i="2"/>
  <c r="J297" i="2"/>
  <c r="A297" i="2"/>
  <c r="J296" i="2"/>
  <c r="A296" i="2"/>
  <c r="J295" i="2"/>
  <c r="A295" i="2"/>
  <c r="J294" i="2"/>
  <c r="A294" i="2"/>
  <c r="J293" i="2"/>
  <c r="A293" i="2"/>
  <c r="J292" i="2"/>
  <c r="A292" i="2"/>
  <c r="J291" i="2"/>
  <c r="A291" i="2"/>
  <c r="J290" i="2"/>
  <c r="A290" i="2"/>
  <c r="J289" i="2"/>
  <c r="A289" i="2"/>
  <c r="J288" i="2"/>
  <c r="A288" i="2"/>
  <c r="J287" i="2"/>
  <c r="A287" i="2"/>
  <c r="J286" i="2"/>
  <c r="A286" i="2"/>
  <c r="J285" i="2"/>
  <c r="A285" i="2"/>
  <c r="J284" i="2"/>
  <c r="A284" i="2"/>
  <c r="J283" i="2"/>
  <c r="A283" i="2"/>
  <c r="J282" i="2"/>
  <c r="A282" i="2"/>
  <c r="J281" i="2"/>
  <c r="A281" i="2"/>
  <c r="J280" i="2"/>
  <c r="A280" i="2"/>
  <c r="J279" i="2"/>
  <c r="A279" i="2"/>
  <c r="J278" i="2"/>
  <c r="A278" i="2"/>
  <c r="J277" i="2"/>
  <c r="A277" i="2"/>
  <c r="J276" i="2"/>
  <c r="A276" i="2"/>
  <c r="J275" i="2"/>
  <c r="A275" i="2"/>
  <c r="J274" i="2"/>
  <c r="A274" i="2"/>
  <c r="J273" i="2"/>
  <c r="A273" i="2"/>
  <c r="J272" i="2"/>
  <c r="A272" i="2"/>
  <c r="J271" i="2"/>
  <c r="A271" i="2"/>
  <c r="J270" i="2"/>
  <c r="A270" i="2"/>
  <c r="J269" i="2"/>
  <c r="A269" i="2"/>
  <c r="J268" i="2"/>
  <c r="A268" i="2"/>
  <c r="J267" i="2"/>
  <c r="A267" i="2"/>
  <c r="J266" i="2"/>
  <c r="A266" i="2"/>
  <c r="J265" i="2"/>
  <c r="A265" i="2"/>
  <c r="J264" i="2"/>
  <c r="A264" i="2"/>
  <c r="J263" i="2"/>
  <c r="A263" i="2"/>
  <c r="J262" i="2"/>
  <c r="A262" i="2"/>
  <c r="J261" i="2"/>
  <c r="A261" i="2"/>
  <c r="J260" i="2"/>
  <c r="A260" i="2"/>
  <c r="J259" i="2"/>
  <c r="A259" i="2"/>
  <c r="J258" i="2"/>
  <c r="A258" i="2"/>
  <c r="J257" i="2"/>
  <c r="A257" i="2"/>
  <c r="J256" i="2"/>
  <c r="A256" i="2"/>
  <c r="J255" i="2"/>
  <c r="A255" i="2"/>
  <c r="J254" i="2"/>
  <c r="A254" i="2"/>
  <c r="J253" i="2"/>
  <c r="A253" i="2"/>
  <c r="J252" i="2"/>
  <c r="A252" i="2"/>
  <c r="J251" i="2"/>
  <c r="A251" i="2"/>
  <c r="J250" i="2"/>
  <c r="A250" i="2"/>
  <c r="J249" i="2"/>
  <c r="A249" i="2"/>
  <c r="J248" i="2"/>
  <c r="A248" i="2"/>
  <c r="J247" i="2"/>
  <c r="A247" i="2"/>
  <c r="J246" i="2"/>
  <c r="A246" i="2"/>
  <c r="J245" i="2"/>
  <c r="A245" i="2"/>
  <c r="J244" i="2"/>
  <c r="A244" i="2"/>
  <c r="J243" i="2"/>
  <c r="A243" i="2"/>
  <c r="J242" i="2"/>
  <c r="A242" i="2"/>
  <c r="J241" i="2"/>
  <c r="A241" i="2"/>
  <c r="J240" i="2"/>
  <c r="A240" i="2"/>
  <c r="J239" i="2"/>
  <c r="A239" i="2"/>
  <c r="J238" i="2"/>
  <c r="A238" i="2"/>
  <c r="J237" i="2"/>
  <c r="A237" i="2"/>
  <c r="J236" i="2"/>
  <c r="A236" i="2"/>
  <c r="J235" i="2"/>
  <c r="A235" i="2"/>
  <c r="J234" i="2"/>
  <c r="A234" i="2"/>
  <c r="J233" i="2"/>
  <c r="A233" i="2"/>
  <c r="J232" i="2"/>
  <c r="A232" i="2"/>
  <c r="J231" i="2"/>
  <c r="A231" i="2"/>
  <c r="J230" i="2"/>
  <c r="A230" i="2"/>
  <c r="J229" i="2"/>
  <c r="A229" i="2"/>
  <c r="J228" i="2"/>
  <c r="A228" i="2"/>
  <c r="J227" i="2"/>
  <c r="A227" i="2"/>
  <c r="J226" i="2"/>
  <c r="A226" i="2"/>
  <c r="J225" i="2"/>
  <c r="A225" i="2"/>
  <c r="J224" i="2"/>
  <c r="A224" i="2"/>
  <c r="J223" i="2"/>
  <c r="A223" i="2"/>
  <c r="J222" i="2"/>
  <c r="A222" i="2"/>
  <c r="J221" i="2"/>
  <c r="A221" i="2"/>
  <c r="J220" i="2"/>
  <c r="A220" i="2"/>
  <c r="J219" i="2"/>
  <c r="A219" i="2"/>
  <c r="J218" i="2"/>
  <c r="A218" i="2"/>
  <c r="J217" i="2"/>
  <c r="A217" i="2"/>
  <c r="J216" i="2"/>
  <c r="A216" i="2"/>
  <c r="J215" i="2"/>
  <c r="A215" i="2"/>
  <c r="J214" i="2"/>
  <c r="A214" i="2"/>
  <c r="J213" i="2"/>
  <c r="A213" i="2"/>
  <c r="J212" i="2"/>
  <c r="A212" i="2"/>
  <c r="J211" i="2"/>
  <c r="A211" i="2"/>
  <c r="J210" i="2"/>
  <c r="A210" i="2"/>
  <c r="J209" i="2"/>
  <c r="A209" i="2"/>
  <c r="J208" i="2"/>
  <c r="A208" i="2"/>
  <c r="J207" i="2"/>
  <c r="A207" i="2"/>
  <c r="J206" i="2"/>
  <c r="A206" i="2"/>
  <c r="J205" i="2"/>
  <c r="A205" i="2"/>
  <c r="J204" i="2"/>
  <c r="A204" i="2"/>
  <c r="J203" i="2"/>
  <c r="A203" i="2"/>
  <c r="J202" i="2"/>
  <c r="A202" i="2"/>
  <c r="J201" i="2"/>
  <c r="A201" i="2"/>
  <c r="J200" i="2"/>
  <c r="A200" i="2"/>
  <c r="J199" i="2"/>
  <c r="A199" i="2"/>
  <c r="J198" i="2"/>
  <c r="A198" i="2"/>
  <c r="J197" i="2"/>
  <c r="A197" i="2"/>
  <c r="J196" i="2"/>
  <c r="A196" i="2"/>
  <c r="J195" i="2"/>
  <c r="A195" i="2"/>
  <c r="J194" i="2"/>
  <c r="A194" i="2"/>
  <c r="J193" i="2"/>
  <c r="A193" i="2"/>
  <c r="J192" i="2"/>
  <c r="A192" i="2"/>
  <c r="J191" i="2"/>
  <c r="A191" i="2"/>
  <c r="J190" i="2"/>
  <c r="A190" i="2"/>
  <c r="J189" i="2"/>
  <c r="A189" i="2"/>
  <c r="J188" i="2"/>
  <c r="A188" i="2"/>
  <c r="J187" i="2"/>
  <c r="A187" i="2"/>
  <c r="J186" i="2"/>
  <c r="A186" i="2"/>
  <c r="J185" i="2"/>
  <c r="A185" i="2"/>
  <c r="J184" i="2"/>
  <c r="A184" i="2"/>
  <c r="J183" i="2"/>
  <c r="A183" i="2"/>
  <c r="J182" i="2"/>
  <c r="A182" i="2"/>
  <c r="J181" i="2"/>
  <c r="A181" i="2"/>
  <c r="J180" i="2"/>
  <c r="A180" i="2"/>
  <c r="J179" i="2"/>
  <c r="A179" i="2"/>
  <c r="J178" i="2"/>
  <c r="A178" i="2"/>
  <c r="J177" i="2"/>
  <c r="A177" i="2"/>
  <c r="J176" i="2"/>
  <c r="A176" i="2"/>
  <c r="J175" i="2"/>
  <c r="A175" i="2"/>
  <c r="J174" i="2"/>
  <c r="A174" i="2"/>
  <c r="J173" i="2"/>
  <c r="A173" i="2"/>
  <c r="J172" i="2"/>
  <c r="A172" i="2"/>
  <c r="J171" i="2"/>
  <c r="A171" i="2"/>
  <c r="J170" i="2"/>
  <c r="A170" i="2"/>
  <c r="J169" i="2"/>
  <c r="A169" i="2"/>
  <c r="J168" i="2"/>
  <c r="A168" i="2"/>
  <c r="J167" i="2"/>
  <c r="A167" i="2"/>
  <c r="J166" i="2"/>
  <c r="A166" i="2"/>
  <c r="J165" i="2"/>
  <c r="A165" i="2"/>
  <c r="J164" i="2"/>
  <c r="A164" i="2"/>
  <c r="J163" i="2"/>
  <c r="A163" i="2"/>
  <c r="J162" i="2"/>
  <c r="A162" i="2"/>
  <c r="J161" i="2"/>
  <c r="A161" i="2"/>
  <c r="J160" i="2"/>
  <c r="A160" i="2"/>
  <c r="J159" i="2"/>
  <c r="A159" i="2"/>
  <c r="J158" i="2"/>
  <c r="A158" i="2"/>
  <c r="J157" i="2"/>
  <c r="A157" i="2"/>
  <c r="J156" i="2"/>
  <c r="A156" i="2"/>
  <c r="J155" i="2"/>
  <c r="A155" i="2"/>
  <c r="J154" i="2"/>
  <c r="A154" i="2"/>
  <c r="J153" i="2"/>
  <c r="A153" i="2"/>
  <c r="J152" i="2"/>
  <c r="A152" i="2"/>
  <c r="J151" i="2"/>
  <c r="A151" i="2"/>
  <c r="J150" i="2"/>
  <c r="A150" i="2"/>
  <c r="J149" i="2"/>
  <c r="A149" i="2"/>
  <c r="J148" i="2"/>
  <c r="A148" i="2"/>
  <c r="J147" i="2"/>
  <c r="A147" i="2"/>
  <c r="J146" i="2"/>
  <c r="A146" i="2"/>
  <c r="J145" i="2"/>
  <c r="A145" i="2"/>
  <c r="J144" i="2"/>
  <c r="A144" i="2"/>
  <c r="J143" i="2"/>
  <c r="A143" i="2"/>
  <c r="J142" i="2"/>
  <c r="A142" i="2"/>
  <c r="J141" i="2"/>
  <c r="A141" i="2"/>
  <c r="J140" i="2"/>
  <c r="A140" i="2"/>
  <c r="J139" i="2"/>
  <c r="A139" i="2"/>
  <c r="J138" i="2"/>
  <c r="A138" i="2"/>
  <c r="J137" i="2"/>
  <c r="A137" i="2"/>
  <c r="J136" i="2"/>
  <c r="A136" i="2"/>
  <c r="J135" i="2"/>
  <c r="A135" i="2"/>
  <c r="J134" i="2"/>
  <c r="A134" i="2"/>
  <c r="J133" i="2"/>
  <c r="A133" i="2"/>
  <c r="J132" i="2"/>
  <c r="A132" i="2"/>
  <c r="J131" i="2"/>
  <c r="A131" i="2"/>
  <c r="J130" i="2"/>
  <c r="A130" i="2"/>
  <c r="J129" i="2"/>
  <c r="A129" i="2"/>
  <c r="J128" i="2"/>
  <c r="A128" i="2"/>
  <c r="J127" i="2"/>
  <c r="A127" i="2"/>
  <c r="J126" i="2"/>
  <c r="A126" i="2"/>
  <c r="J125" i="2"/>
  <c r="A125" i="2"/>
  <c r="J124" i="2"/>
  <c r="A124" i="2"/>
  <c r="J123" i="2"/>
  <c r="A123" i="2"/>
  <c r="J122" i="2"/>
  <c r="A122" i="2"/>
  <c r="J121" i="2"/>
  <c r="A121" i="2"/>
  <c r="J120" i="2"/>
  <c r="A120" i="2"/>
  <c r="J119" i="2"/>
  <c r="A119" i="2"/>
  <c r="J118" i="2"/>
  <c r="A118" i="2"/>
  <c r="J117" i="2"/>
  <c r="A117" i="2"/>
  <c r="J116" i="2"/>
  <c r="A116" i="2"/>
  <c r="J115" i="2"/>
  <c r="A115" i="2"/>
  <c r="J114" i="2"/>
  <c r="A114" i="2"/>
  <c r="J113" i="2"/>
  <c r="A113" i="2"/>
  <c r="J112" i="2"/>
  <c r="A112" i="2"/>
  <c r="J111" i="2"/>
  <c r="A111" i="2"/>
  <c r="J110" i="2"/>
  <c r="A110" i="2"/>
  <c r="J109" i="2"/>
  <c r="A109" i="2"/>
  <c r="J108" i="2"/>
  <c r="A108" i="2"/>
  <c r="J107" i="2"/>
  <c r="A107" i="2"/>
  <c r="J106" i="2"/>
  <c r="A106" i="2"/>
  <c r="J105" i="2"/>
  <c r="A105" i="2"/>
  <c r="J104" i="2"/>
  <c r="A104" i="2"/>
  <c r="J103" i="2"/>
  <c r="A103" i="2"/>
  <c r="J102" i="2"/>
  <c r="A102" i="2"/>
  <c r="J101" i="2"/>
  <c r="A101" i="2"/>
  <c r="J100" i="2"/>
  <c r="A100" i="2"/>
  <c r="J99" i="2"/>
  <c r="A99" i="2"/>
  <c r="J98" i="2"/>
  <c r="A98" i="2"/>
  <c r="J97" i="2"/>
  <c r="A97" i="2"/>
  <c r="J96" i="2"/>
  <c r="A96" i="2"/>
  <c r="J95" i="2"/>
  <c r="A95" i="2"/>
  <c r="J94" i="2"/>
  <c r="A94" i="2"/>
  <c r="J93" i="2"/>
  <c r="A93" i="2"/>
  <c r="J92" i="2"/>
  <c r="A92" i="2"/>
  <c r="J91" i="2"/>
  <c r="A91" i="2"/>
  <c r="J90" i="2"/>
  <c r="A90" i="2"/>
  <c r="J89" i="2"/>
  <c r="A89" i="2"/>
  <c r="J88" i="2"/>
  <c r="A88" i="2"/>
  <c r="J87" i="2"/>
  <c r="A87" i="2"/>
  <c r="J86" i="2"/>
  <c r="A86" i="2"/>
  <c r="J85" i="2"/>
  <c r="A85" i="2"/>
  <c r="J84" i="2"/>
  <c r="A84" i="2"/>
  <c r="J83" i="2"/>
  <c r="A83" i="2"/>
  <c r="J82" i="2"/>
  <c r="A82" i="2"/>
  <c r="J81" i="2"/>
  <c r="A81" i="2"/>
  <c r="J80" i="2"/>
  <c r="A80" i="2"/>
  <c r="J79" i="2"/>
  <c r="A79" i="2"/>
  <c r="J78" i="2"/>
  <c r="A78" i="2"/>
  <c r="J77" i="2"/>
  <c r="A77" i="2"/>
  <c r="J76" i="2"/>
  <c r="A76" i="2"/>
  <c r="J75" i="2"/>
  <c r="A75" i="2"/>
  <c r="J74" i="2"/>
  <c r="A74" i="2"/>
  <c r="J73" i="2"/>
  <c r="A73" i="2"/>
  <c r="J72" i="2"/>
  <c r="A72" i="2"/>
  <c r="J71" i="2"/>
  <c r="A71" i="2"/>
  <c r="J70" i="2"/>
  <c r="A70" i="2"/>
  <c r="J69" i="2"/>
  <c r="A69" i="2"/>
  <c r="J68" i="2"/>
  <c r="A68" i="2"/>
  <c r="J67" i="2"/>
  <c r="A67" i="2"/>
  <c r="J66" i="2"/>
  <c r="A66" i="2"/>
  <c r="J65" i="2"/>
  <c r="A65" i="2"/>
  <c r="J64" i="2"/>
  <c r="A64" i="2"/>
  <c r="J63" i="2"/>
  <c r="A63" i="2"/>
  <c r="J62" i="2"/>
  <c r="A62" i="2"/>
  <c r="J61" i="2"/>
  <c r="A61" i="2"/>
  <c r="J60" i="2"/>
  <c r="A60" i="2"/>
  <c r="J59" i="2"/>
  <c r="A59" i="2"/>
  <c r="J58" i="2"/>
  <c r="A58" i="2"/>
  <c r="J57" i="2"/>
  <c r="A57" i="2"/>
  <c r="J56" i="2"/>
  <c r="A56" i="2"/>
  <c r="J55" i="2"/>
  <c r="A55" i="2"/>
  <c r="J54" i="2"/>
  <c r="A54" i="2"/>
  <c r="J53" i="2"/>
  <c r="A53" i="2"/>
  <c r="J52" i="2"/>
  <c r="A52" i="2"/>
  <c r="J51" i="2"/>
  <c r="A51" i="2"/>
  <c r="J50" i="2"/>
  <c r="A50" i="2"/>
  <c r="J49" i="2"/>
  <c r="A49" i="2"/>
  <c r="J48" i="2"/>
  <c r="A48" i="2"/>
  <c r="J47" i="2"/>
  <c r="A47" i="2"/>
  <c r="J46" i="2"/>
  <c r="A46" i="2"/>
  <c r="J45" i="2"/>
  <c r="A45" i="2"/>
  <c r="J44" i="2"/>
  <c r="A44" i="2"/>
  <c r="J43" i="2"/>
  <c r="A43" i="2"/>
  <c r="J42" i="2"/>
  <c r="A42" i="2"/>
  <c r="J41" i="2"/>
  <c r="A41" i="2"/>
  <c r="J40" i="2"/>
  <c r="A40" i="2"/>
  <c r="J39" i="2"/>
  <c r="A39" i="2"/>
  <c r="J38" i="2"/>
  <c r="A38" i="2"/>
  <c r="J37" i="2"/>
  <c r="A37" i="2"/>
  <c r="J36" i="2"/>
  <c r="A36" i="2"/>
  <c r="J35" i="2"/>
  <c r="A35" i="2"/>
  <c r="J34" i="2"/>
  <c r="A34" i="2"/>
  <c r="J33" i="2"/>
  <c r="A33" i="2"/>
  <c r="J32" i="2"/>
  <c r="A32" i="2"/>
  <c r="J31" i="2"/>
  <c r="A31" i="2"/>
  <c r="J30" i="2"/>
  <c r="A30" i="2"/>
  <c r="J29" i="2"/>
  <c r="A29" i="2"/>
  <c r="J28" i="2"/>
  <c r="A28" i="2"/>
  <c r="J27" i="2"/>
  <c r="A27" i="2"/>
  <c r="J26" i="2"/>
  <c r="A26" i="2"/>
  <c r="J25" i="2"/>
  <c r="A25" i="2"/>
  <c r="J24" i="2"/>
  <c r="A24" i="2"/>
  <c r="J23" i="2"/>
  <c r="A23" i="2"/>
  <c r="J22" i="2"/>
  <c r="A22" i="2"/>
  <c r="J21" i="2"/>
  <c r="A21" i="2"/>
  <c r="J20" i="2"/>
  <c r="A20" i="2"/>
  <c r="J19" i="2"/>
  <c r="A19" i="2"/>
  <c r="J18" i="2"/>
  <c r="A18" i="2"/>
  <c r="J17" i="2"/>
  <c r="A17" i="2"/>
  <c r="J16" i="2"/>
  <c r="A16" i="2"/>
  <c r="J15" i="2"/>
  <c r="A15" i="2"/>
  <c r="J14" i="2"/>
  <c r="A14" i="2"/>
  <c r="J13" i="2"/>
  <c r="A13" i="2"/>
  <c r="J12" i="2"/>
  <c r="A12" i="2"/>
  <c r="J11" i="2"/>
  <c r="A11" i="2"/>
  <c r="J10" i="2"/>
  <c r="A10" i="2"/>
  <c r="J9" i="2"/>
  <c r="A9" i="2"/>
  <c r="J8" i="2"/>
  <c r="A8" i="2"/>
  <c r="J7" i="2"/>
  <c r="A7" i="2"/>
  <c r="J6" i="2"/>
  <c r="A6" i="2"/>
  <c r="J5" i="2"/>
  <c r="A5" i="2"/>
  <c r="J4" i="2"/>
  <c r="A4" i="2"/>
  <c r="J3" i="2"/>
  <c r="A3" i="2"/>
  <c r="J2" i="2"/>
  <c r="A2" i="2"/>
</calcChain>
</file>

<file path=xl/sharedStrings.xml><?xml version="1.0" encoding="utf-8"?>
<sst xmlns="http://schemas.openxmlformats.org/spreadsheetml/2006/main" count="5724" uniqueCount="2329">
  <si>
    <t>Code</t>
  </si>
  <si>
    <t>Parties</t>
  </si>
  <si>
    <t>Type</t>
  </si>
  <si>
    <t>Commodities</t>
  </si>
  <si>
    <t>Status</t>
  </si>
  <si>
    <t>Application Date</t>
  </si>
  <si>
    <t>Grant Date</t>
  </si>
  <si>
    <t>Expiry Date</t>
  </si>
  <si>
    <t>Area</t>
  </si>
  <si>
    <t>Map Reference</t>
  </si>
  <si>
    <t>Zambezi Natural Stone Company Limited (100%)</t>
  </si>
  <si>
    <t>SML</t>
  </si>
  <si>
    <t>TLC</t>
  </si>
  <si>
    <t>Active</t>
  </si>
  <si>
    <t>Kendormans Investments Limited (100%)</t>
  </si>
  <si>
    <t>LEL</t>
  </si>
  <si>
    <t>Ag, Au, Co, Cu, Fe, GYP, LST, Mn, Ni, Se</t>
  </si>
  <si>
    <t>94262.4893 ha</t>
  </si>
  <si>
    <t>Emmanuel Chanda (100%)</t>
  </si>
  <si>
    <t>AMR</t>
  </si>
  <si>
    <t>QTZ, SiO2</t>
  </si>
  <si>
    <t>6.7171 ha</t>
  </si>
  <si>
    <t>Allan Mpundu (100%)</t>
  </si>
  <si>
    <t>Be3Al2(SiO3)6, EM, QTZ</t>
  </si>
  <si>
    <t>Aguia Minerals Resources Limited (100%)</t>
  </si>
  <si>
    <t>am, AMT, GAR, KYN, Nb, QTZ, Ta, Ti, TML, W</t>
  </si>
  <si>
    <t>69.6400 ha</t>
  </si>
  <si>
    <t>Drew Invetsments Limited (100%)</t>
  </si>
  <si>
    <t>SIL</t>
  </si>
  <si>
    <t>90.0100 ha</t>
  </si>
  <si>
    <t>Nalume Mining Limited (100%)</t>
  </si>
  <si>
    <t>Ag, Au, Co, Cu, Ni</t>
  </si>
  <si>
    <t>452.3711 ha</t>
  </si>
  <si>
    <t>Gopemo Mining Limited (100%)</t>
  </si>
  <si>
    <t>SEL</t>
  </si>
  <si>
    <t>Co, Cu, QTZ, SIL</t>
  </si>
  <si>
    <t>EMCO Coal Zambia Limited (100%)</t>
  </si>
  <si>
    <t>LML</t>
  </si>
  <si>
    <t>COA</t>
  </si>
  <si>
    <t>Syamate Simalele (100%)</t>
  </si>
  <si>
    <t>SDG</t>
  </si>
  <si>
    <t>6.5750 ha</t>
  </si>
  <si>
    <t>Synite Quarries Zambia Limited (100%)</t>
  </si>
  <si>
    <t>GRT, SDG, SST</t>
  </si>
  <si>
    <t>Chilibwe Mining Limited</t>
  </si>
  <si>
    <t>GRT</t>
  </si>
  <si>
    <t>69.2453 ha</t>
  </si>
  <si>
    <t>Lusan Indusries Ltd (100%)</t>
  </si>
  <si>
    <t>Au, Co, Cu, Fe, Pt</t>
  </si>
  <si>
    <t>85568.1098 ha</t>
  </si>
  <si>
    <t>Alidess Tembo (100%)</t>
  </si>
  <si>
    <t>Cu</t>
  </si>
  <si>
    <t>904.4870 ha</t>
  </si>
  <si>
    <t>Mogoswa Limestone Limited (100%)</t>
  </si>
  <si>
    <t>LST, STN</t>
  </si>
  <si>
    <t>Pending Transfer</t>
  </si>
  <si>
    <t>6.6700 ha</t>
  </si>
  <si>
    <t>MBK Mining Limited (100%)</t>
  </si>
  <si>
    <t>Au, Co, Cu</t>
  </si>
  <si>
    <t>Marsapunda Mining Company Limited (100%)</t>
  </si>
  <si>
    <t>Ag, Au, Co, Cu, Fe, Mn</t>
  </si>
  <si>
    <t>135.3357 ha</t>
  </si>
  <si>
    <t>Bountiful Blessings Investment Limited (100%)</t>
  </si>
  <si>
    <t>638.6251 ha</t>
  </si>
  <si>
    <t>Jordan Mbulo (100%)</t>
  </si>
  <si>
    <t>AQM, TML</t>
  </si>
  <si>
    <t>372.2077 ha</t>
  </si>
  <si>
    <t>Seanchan Investment Limited (100%)</t>
  </si>
  <si>
    <t>SAM, SIL</t>
  </si>
  <si>
    <t>99.9972 ha</t>
  </si>
  <si>
    <t>Misheck Mutumbwe (100%)</t>
  </si>
  <si>
    <t>AQM, QTZ, TML</t>
  </si>
  <si>
    <t>Expired</t>
  </si>
  <si>
    <t>6.6451 ha</t>
  </si>
  <si>
    <t>Au</t>
  </si>
  <si>
    <t>199.9482 ha</t>
  </si>
  <si>
    <t>Bartholomew Mweemba Nyanga (100%)</t>
  </si>
  <si>
    <t>694.0894 ha</t>
  </si>
  <si>
    <t>Chitampa Exploration (100%)</t>
  </si>
  <si>
    <t>Ag, Co, Cu, Fe, U, Zn</t>
  </si>
  <si>
    <t>19552.1263 ha</t>
  </si>
  <si>
    <t>Annanual Mining Limited (100%)</t>
  </si>
  <si>
    <t>AQM, GAR, TML</t>
  </si>
  <si>
    <t>295.1028 ha</t>
  </si>
  <si>
    <t>Brebner Changala (100%)</t>
  </si>
  <si>
    <t>GYP</t>
  </si>
  <si>
    <t>391.3558 ha</t>
  </si>
  <si>
    <t>Brebner School Chalk Limited (100%)</t>
  </si>
  <si>
    <t>Praja Minerals Zambia Limited (100%)</t>
  </si>
  <si>
    <t>Ag, Au, Cu, Pb, Zn</t>
  </si>
  <si>
    <t>Daniel Kalembe</t>
  </si>
  <si>
    <t>Au, Co, Cu, Fe, LST, Mn, Pb, S, U</t>
  </si>
  <si>
    <t>28014.6726 ha</t>
  </si>
  <si>
    <t>Sew Trident(Zambia)Private Ltd (100%)</t>
  </si>
  <si>
    <t>Ag, Au, Co, Cu, Fe, Mn, Ni, Pb, Zn</t>
  </si>
  <si>
    <t>44898.7396 ha</t>
  </si>
  <si>
    <t>Elias kangwa (100%)</t>
  </si>
  <si>
    <t>STN</t>
  </si>
  <si>
    <t>6.5842 ha</t>
  </si>
  <si>
    <t>Edward Simukonda (100%)</t>
  </si>
  <si>
    <t>Sn, Tl</t>
  </si>
  <si>
    <t>Gigatt General Dealers Limited (100%)</t>
  </si>
  <si>
    <t>Ag, Au, Co, Cu</t>
  </si>
  <si>
    <t>18371.7982 ha</t>
  </si>
  <si>
    <t>Zambian Investment Connections Limited (100%)</t>
  </si>
  <si>
    <t>Ag, Au, Co, Cu, Fe, Ni, U</t>
  </si>
  <si>
    <t>48150.2894 ha</t>
  </si>
  <si>
    <t>Sinozoncha Resources Investment Company (Z) Ltd (100%)</t>
  </si>
  <si>
    <t>5155.8963 ha</t>
  </si>
  <si>
    <t>Copperzone Resources Limited (100%)</t>
  </si>
  <si>
    <t>Ag, Au, Co, Cu, LST, Mn, REE, U</t>
  </si>
  <si>
    <t>20130.3566 ha</t>
  </si>
  <si>
    <t>Songeya Investments Limited (100%)</t>
  </si>
  <si>
    <t>Au, Co, Cu, Mn, Ni</t>
  </si>
  <si>
    <t>41704.8424 ha</t>
  </si>
  <si>
    <t>Shearzone Resources Limited</t>
  </si>
  <si>
    <t>Au, Co, Cu, Ni</t>
  </si>
  <si>
    <t>31823.5255 ha</t>
  </si>
  <si>
    <t>Ag, Au, Cr, Cu, Fe, Mn, Ni, Pb, Zn</t>
  </si>
  <si>
    <t>20581.0259 ha</t>
  </si>
  <si>
    <t>Yathu Resources Limited (100%)</t>
  </si>
  <si>
    <t>Ag, Au, Cu, Fe, LST, Mn, Zn</t>
  </si>
  <si>
    <t>960.6681 ha</t>
  </si>
  <si>
    <t>MGI KRUZ Auto Link Limited (100%)</t>
  </si>
  <si>
    <t>Ag, Au, Co, Cu, Fe, Mn, Zn</t>
  </si>
  <si>
    <t>22312.4798 ha</t>
  </si>
  <si>
    <t>Ag, Au, Co, Cu, Fe, LST, Mn, Zn</t>
  </si>
  <si>
    <t>970.6150 ha</t>
  </si>
  <si>
    <t>Margret Lombe Kakungu (100%)</t>
  </si>
  <si>
    <t>8119.5473 ha</t>
  </si>
  <si>
    <t>African Pearl Estates Limited</t>
  </si>
  <si>
    <t>89717.1404 ha</t>
  </si>
  <si>
    <t>Ndola Energy Company Limited (100%)</t>
  </si>
  <si>
    <t>Ag, Au, COA, Cu, Fe, U</t>
  </si>
  <si>
    <t>36941.8894 ha</t>
  </si>
  <si>
    <t>63633.9303 ha</t>
  </si>
  <si>
    <t>Rio Tinto Exploration Zambia Limited (100%)</t>
  </si>
  <si>
    <t>Ag, Au, Co, Cu, Fe, Mn, Ni, Pb, U, Zn</t>
  </si>
  <si>
    <t>Abandoned</t>
  </si>
  <si>
    <t>25400.6760 ha</t>
  </si>
  <si>
    <t>Kafre Enterprises Limited (100%)</t>
  </si>
  <si>
    <t>Ag, Au, Co, Cu, U</t>
  </si>
  <si>
    <t>14725.8575 ha</t>
  </si>
  <si>
    <t>Civilstruts Consortium Limited (100%)</t>
  </si>
  <si>
    <t>COA, Sn</t>
  </si>
  <si>
    <t>2940.8516 ha</t>
  </si>
  <si>
    <t>Arasan Minerals And Base Metals Zambia Limited (100%)</t>
  </si>
  <si>
    <t>DOL, GRT, LST, MBL</t>
  </si>
  <si>
    <t>471.4665 ha</t>
  </si>
  <si>
    <t>Emmanuel Musonda (100%)</t>
  </si>
  <si>
    <t>CLY, FLD, SIL</t>
  </si>
  <si>
    <t>256.8179 ha</t>
  </si>
  <si>
    <t>Fountain Port Limited (100%)</t>
  </si>
  <si>
    <t>Au, Co, Cu, Mn</t>
  </si>
  <si>
    <t>7110.9327 ha</t>
  </si>
  <si>
    <t>Katuchaka Mining And General Suppliers Limited (100%)</t>
  </si>
  <si>
    <t>Mn</t>
  </si>
  <si>
    <t>360.6959 ha</t>
  </si>
  <si>
    <t>Kale Mining Limited (100%)</t>
  </si>
  <si>
    <t>Ag, Au, Co, Cr, Cu, Fe, Mo, Ni, Pb, Pd, Pt, U, Zn</t>
  </si>
  <si>
    <t>63841.0384 ha</t>
  </si>
  <si>
    <t>Zamingo Mining Limited (100%)</t>
  </si>
  <si>
    <t>Au, Co, Cu, LST, Pb, Sn, Ti</t>
  </si>
  <si>
    <t>3751.4520 ha</t>
  </si>
  <si>
    <t>Unirate Investments Limited (100%)</t>
  </si>
  <si>
    <t>1191.5605 ha</t>
  </si>
  <si>
    <t>Swellvan General Dealers And Mining Limited (100%)</t>
  </si>
  <si>
    <t>Au, Cu</t>
  </si>
  <si>
    <t>4293.5182 ha</t>
  </si>
  <si>
    <t>Gold Twenty Four Limited (100%)</t>
  </si>
  <si>
    <t>Ag, Au, Co, Cu, GRT</t>
  </si>
  <si>
    <t>2223.7223 ha</t>
  </si>
  <si>
    <t>Kasompo General Contractors And Suppliers Limited (100%)</t>
  </si>
  <si>
    <t>Cu, SDG, SIL</t>
  </si>
  <si>
    <t>123.4830 ha</t>
  </si>
  <si>
    <t>John Kalenga (100%)</t>
  </si>
  <si>
    <t>Au, REE, Sn, Ta</t>
  </si>
  <si>
    <t>616.6049 ha</t>
  </si>
  <si>
    <t>Trident Alloys Zambia Limited (100%)</t>
  </si>
  <si>
    <t>Ag, Au, Co, Cu, Fe, Mn, Mo, Ni, Pb, Sn, Ti, U, Zn</t>
  </si>
  <si>
    <t>2687.3691 ha</t>
  </si>
  <si>
    <t>Zaaminco Mining Limited (100%)</t>
  </si>
  <si>
    <t>Au, Co, Cu, Mn, Sn, Zn</t>
  </si>
  <si>
    <t>322.6675 ha</t>
  </si>
  <si>
    <t>Mostain Hakalomba Chinyama (100%)</t>
  </si>
  <si>
    <t>Fe, Mn, QTZ</t>
  </si>
  <si>
    <t>6.6715 ha</t>
  </si>
  <si>
    <t>1409.9242 ha</t>
  </si>
  <si>
    <t>Suwilanji Sichizya (100%)</t>
  </si>
  <si>
    <t>Co, Cu, I, Ti</t>
  </si>
  <si>
    <t>399.2140 ha</t>
  </si>
  <si>
    <t>Gandari Mining Limited (100%)</t>
  </si>
  <si>
    <t>Au, Co, Cu, Fe, LST, Pt</t>
  </si>
  <si>
    <t>211.0116 ha</t>
  </si>
  <si>
    <t>Samfuel Limited (100%)</t>
  </si>
  <si>
    <t>Co, Cu, LST, Mn, Pb, U, Zn</t>
  </si>
  <si>
    <t>7153.1562 ha</t>
  </si>
  <si>
    <t>Ag, Au, Co, Cr, Cu, Fe, Mn, Ni, Pb, Zn</t>
  </si>
  <si>
    <t>8518.0579 ha</t>
  </si>
  <si>
    <t>Robert Phiri</t>
  </si>
  <si>
    <t>Cu, Fe</t>
  </si>
  <si>
    <t>555.0084 ha</t>
  </si>
  <si>
    <t>Sendwe Investements Limited</t>
  </si>
  <si>
    <t>21966.8153 ha</t>
  </si>
  <si>
    <t>Kasenga Minerals Limited</t>
  </si>
  <si>
    <t>Au, Cu, Mn, Ni, Pb, Zn</t>
  </si>
  <si>
    <t>47508.4628 ha</t>
  </si>
  <si>
    <t>Chiteta Mining Company Limited</t>
  </si>
  <si>
    <t>Ag, Al, Au, Co, Cu, Li, MIC, REE, Sn, Ta, U</t>
  </si>
  <si>
    <t>34574.0415 ha</t>
  </si>
  <si>
    <t>Mutimbi Real Estates Limited</t>
  </si>
  <si>
    <t>Ag, Au, Co, COA, Cu, Fe, Ni, U</t>
  </si>
  <si>
    <t>24834.7763 ha</t>
  </si>
  <si>
    <t>Samfuel Limited</t>
  </si>
  <si>
    <t>Co, Cu, Pb, Sn, Zn</t>
  </si>
  <si>
    <t>Uni Mining and Construction Limited</t>
  </si>
  <si>
    <t>GRT, LST, SST</t>
  </si>
  <si>
    <t>4862.7336 ha</t>
  </si>
  <si>
    <t>Joint Mining Limited</t>
  </si>
  <si>
    <t>Ag, Au, Co, Cu, DOL, Fe, GRT, LST, Mn, SDG, Zn</t>
  </si>
  <si>
    <t>18894.8973 ha</t>
  </si>
  <si>
    <t>Arasan Minerals And Base Metals Zambia Limited</t>
  </si>
  <si>
    <t>COR, Cu, LST, Zn</t>
  </si>
  <si>
    <t>921.9303 ha</t>
  </si>
  <si>
    <t>Cu, DOL, GRT, LST, Zn</t>
  </si>
  <si>
    <t>652.5912 ha</t>
  </si>
  <si>
    <t>896.5992 ha</t>
  </si>
  <si>
    <t>Kalunga Chola</t>
  </si>
  <si>
    <t>6.6211 ha</t>
  </si>
  <si>
    <t>Laika invetsments Limited</t>
  </si>
  <si>
    <t>Ag, Au, Co, Cu, Fe, LST, Ni, Pb, REE, SIL, Zn</t>
  </si>
  <si>
    <t>935.2399 ha</t>
  </si>
  <si>
    <t>Luwi Investments Limited</t>
  </si>
  <si>
    <t>Ag, Au, Cu, Fe, Mn</t>
  </si>
  <si>
    <t>515.7401 ha</t>
  </si>
  <si>
    <t>356.7903 ha</t>
  </si>
  <si>
    <t>Vast Mining Company Limited</t>
  </si>
  <si>
    <t>Ag, Au, Co, Cu, Fe, LST, Ni, Pb, PGM, REE, SIL, Zn</t>
  </si>
  <si>
    <t>16572.1342 ha</t>
  </si>
  <si>
    <t>Geo Natural Zambia Limited</t>
  </si>
  <si>
    <t>Ag, Au, Co, DOL, Fe, GRT, LST, Mn, SDG, Zn</t>
  </si>
  <si>
    <t>29944.6595 ha</t>
  </si>
  <si>
    <t>Ndola Energy Company Limited</t>
  </si>
  <si>
    <t>7432.2226 ha</t>
  </si>
  <si>
    <t>33619.6432 ha</t>
  </si>
  <si>
    <t>Vikram Investments Limited</t>
  </si>
  <si>
    <t>Au, Co, Cu, DOL, Fe, GRT, LST, Mn, SDG, SIL, Zn</t>
  </si>
  <si>
    <t>82166.8195 ha</t>
  </si>
  <si>
    <t>3005.2259 ha</t>
  </si>
  <si>
    <t>22708.2893 ha</t>
  </si>
  <si>
    <t>9514.2292 ha</t>
  </si>
  <si>
    <t>Ag, Au, Co, Cu, DOL, Fe, GRT, LST, Mn, SAM, Zn</t>
  </si>
  <si>
    <t>6828.5547 ha</t>
  </si>
  <si>
    <t>16451.5102 ha</t>
  </si>
  <si>
    <t>49696.2229 ha</t>
  </si>
  <si>
    <t>3288.8899 ha</t>
  </si>
  <si>
    <t>3655.5066 ha</t>
  </si>
  <si>
    <t>16825.6457 ha</t>
  </si>
  <si>
    <t>6564.1867 ha</t>
  </si>
  <si>
    <t>Zambazi Mines Zambia Limited</t>
  </si>
  <si>
    <t>49635.8129 ha</t>
  </si>
  <si>
    <t>53782.5012 ha</t>
  </si>
  <si>
    <t>14217.3016 ha</t>
  </si>
  <si>
    <t>2620.0377 ha</t>
  </si>
  <si>
    <t>6793.5053 ha</t>
  </si>
  <si>
    <t>14057.0137 ha</t>
  </si>
  <si>
    <t>Sunday Sinyangwe</t>
  </si>
  <si>
    <t>am, AQM, GAR, QTZ, TML</t>
  </si>
  <si>
    <t>99.5717 ha</t>
  </si>
  <si>
    <t>MMG (Zambia) Exploration Limited</t>
  </si>
  <si>
    <t>Ag, Au, Co, Cu, Fe, Ni, Pb, S, Zn</t>
  </si>
  <si>
    <t>24964.7672 ha</t>
  </si>
  <si>
    <t>Lazalo Sebente</t>
  </si>
  <si>
    <t>6.6676 ha</t>
  </si>
  <si>
    <t>Kafwana Kapokoso</t>
  </si>
  <si>
    <t>6.6836 ha</t>
  </si>
  <si>
    <t>Beryl DJI Mining Limited</t>
  </si>
  <si>
    <t>am, Cu, Fe, Mn, P, Pb, Sn</t>
  </si>
  <si>
    <t>5034.1879 ha</t>
  </si>
  <si>
    <t>Kazuwa Resources Ltd</t>
  </si>
  <si>
    <t>Pb, Sn, U</t>
  </si>
  <si>
    <t>1285.6136 ha</t>
  </si>
  <si>
    <t>Au, Co, COA, Cu, DIA, Fe, Ni, U</t>
  </si>
  <si>
    <t>1384.1265 ha</t>
  </si>
  <si>
    <t>LP Distributors Limited</t>
  </si>
  <si>
    <t>Au, Co, Cu, Zn</t>
  </si>
  <si>
    <t>345.7481 ha</t>
  </si>
  <si>
    <t>KPR Investments Limited</t>
  </si>
  <si>
    <t>Ag, Au, Co, Cu, Fe, Mn, Ni, Zn</t>
  </si>
  <si>
    <t>88395.8810 ha</t>
  </si>
  <si>
    <t>80310.8275 ha</t>
  </si>
  <si>
    <t>Luke Phiri</t>
  </si>
  <si>
    <t>6.6489 ha</t>
  </si>
  <si>
    <t>Masauso Phiri</t>
  </si>
  <si>
    <t>Zebulon Mining Limited (100%)</t>
  </si>
  <si>
    <t>Ag, As, Au, Co, Cu, Fe, LST, Ni, Pb, Pt, Zn</t>
  </si>
  <si>
    <t>3995.8250 ha</t>
  </si>
  <si>
    <t>25566.1518 ha</t>
  </si>
  <si>
    <t>Isaac Kachenga</t>
  </si>
  <si>
    <t>82270.3070 ha</t>
  </si>
  <si>
    <t>Sharon Chakafumbelo</t>
  </si>
  <si>
    <t>1521.4884 ha</t>
  </si>
  <si>
    <t>5108.4283 ha</t>
  </si>
  <si>
    <t>13540.6910 ha</t>
  </si>
  <si>
    <t>SMICS Investments Limited</t>
  </si>
  <si>
    <t>Au, Co, Cu, Fe, Pb, Zn</t>
  </si>
  <si>
    <t>48216.2000 ha</t>
  </si>
  <si>
    <t>Sendwe Investments Limited</t>
  </si>
  <si>
    <t>Ag, Au, Co, Cu, Fe</t>
  </si>
  <si>
    <t>11443 CU</t>
  </si>
  <si>
    <t>4307.9240 ha</t>
  </si>
  <si>
    <t>Zambian Nonferrous Metals Exploration &amp; Construction Co. Ltd</t>
  </si>
  <si>
    <t>Au, Co, Cu, Fe, Ni</t>
  </si>
  <si>
    <t>7336.0496 ha</t>
  </si>
  <si>
    <t>Shakthi Mining Ltd</t>
  </si>
  <si>
    <t>Co, Cu, Fe, Mn, QTZ</t>
  </si>
  <si>
    <t>605.0625 ha</t>
  </si>
  <si>
    <t>RAZIMA Mining Limited</t>
  </si>
  <si>
    <t>240.4343 ha</t>
  </si>
  <si>
    <t>N.I.C Investments Limited</t>
  </si>
  <si>
    <t>Au, Co, Cu, Fe, Ni, U, Zn</t>
  </si>
  <si>
    <t>76600.3891 ha</t>
  </si>
  <si>
    <t>Yuri Mubanga Sinyanwe</t>
  </si>
  <si>
    <t>Co, Cu, SIL</t>
  </si>
  <si>
    <t>6.6684 ha</t>
  </si>
  <si>
    <t>Harmony Copper Mines Limited</t>
  </si>
  <si>
    <t>53.3479 ha</t>
  </si>
  <si>
    <t>Cu, LST</t>
  </si>
  <si>
    <t>770.3034 ha</t>
  </si>
  <si>
    <t>Cliver Gondwe</t>
  </si>
  <si>
    <t>6.6644 ha</t>
  </si>
  <si>
    <t>David Mubanga</t>
  </si>
  <si>
    <t>6.6112 ha</t>
  </si>
  <si>
    <t>Fred Milanzi</t>
  </si>
  <si>
    <t>521.4110 ha</t>
  </si>
  <si>
    <t>347.0976 ha</t>
  </si>
  <si>
    <t>Texxon Energies Limited</t>
  </si>
  <si>
    <t>836.0056 ha</t>
  </si>
  <si>
    <t>Aaron Chisabi</t>
  </si>
  <si>
    <t>436.0696 ha</t>
  </si>
  <si>
    <t>Alethia Belt Capital Limited</t>
  </si>
  <si>
    <t>am, AMT, AQM, QTZ</t>
  </si>
  <si>
    <t>325.2574 ha</t>
  </si>
  <si>
    <t>Kontingo International Trade Company Limited</t>
  </si>
  <si>
    <t>Ag, Au, Co, Cu, LST, Mn, Ni, Pb, Pt, Zn</t>
  </si>
  <si>
    <t>18047.5772 ha</t>
  </si>
  <si>
    <t>Amadoda Genrock Limited</t>
  </si>
  <si>
    <t>Au, Co, Cu, Fe, Mn, Ni, REE, Zn</t>
  </si>
  <si>
    <t>9141.2640 ha</t>
  </si>
  <si>
    <t>Gold Twenty Four Limited</t>
  </si>
  <si>
    <t>Ag, Au, Co, Cu, Mn</t>
  </si>
  <si>
    <t>16030.3298 ha</t>
  </si>
  <si>
    <t>Kayombo Kamboi (100%)</t>
  </si>
  <si>
    <t>SDG, SIL</t>
  </si>
  <si>
    <t>6.6646 ha</t>
  </si>
  <si>
    <t>Elias Jefferson Kaumba Sangambo</t>
  </si>
  <si>
    <t>180.5466 ha</t>
  </si>
  <si>
    <t>Southern Latitude Company</t>
  </si>
  <si>
    <t>2390.7854 ha</t>
  </si>
  <si>
    <t>Starmiles Enterprises Limited</t>
  </si>
  <si>
    <t>LST, MBL</t>
  </si>
  <si>
    <t>59.3702 ha</t>
  </si>
  <si>
    <t>Mabvuto C Nyirenda</t>
  </si>
  <si>
    <t>DOL, LST, SDG</t>
  </si>
  <si>
    <t>660.7432 ha</t>
  </si>
  <si>
    <t>Pricems Mining &amp; Trading Limited</t>
  </si>
  <si>
    <t>Ag, Au, Co, COA, Cu, Fe, Mn, Ni, Pb, Zn</t>
  </si>
  <si>
    <t>116.0220 ha</t>
  </si>
  <si>
    <t>Lameck Tembo</t>
  </si>
  <si>
    <t>Cu, GAR, TML</t>
  </si>
  <si>
    <t>6.6504 ha</t>
  </si>
  <si>
    <t>LMC Capital Limited (100%)</t>
  </si>
  <si>
    <t>LST, TLC</t>
  </si>
  <si>
    <t>105.5005 ha</t>
  </si>
  <si>
    <t>LMC Capital Limited</t>
  </si>
  <si>
    <t>Au, Co, Cu, Fe, Mn, Zn</t>
  </si>
  <si>
    <t>481.4026 ha</t>
  </si>
  <si>
    <t>Sew Trident(Zambia)Private Ltd</t>
  </si>
  <si>
    <t>Ag, AQM, Au, Be3Al2(SiO3)6, Cu, Fe, Ni, Sn</t>
  </si>
  <si>
    <t>54694.7636 ha</t>
  </si>
  <si>
    <t>Sew Infra (Zambia) Private Limited</t>
  </si>
  <si>
    <t>Ag, Au, Co, Cr, Cu, Fe, Mn, Ni, Pb, Sn, Zn</t>
  </si>
  <si>
    <t>22437.1905 ha</t>
  </si>
  <si>
    <t>Sew Precious Metals Zambia Limited</t>
  </si>
  <si>
    <t>Ag, Au, Co, Cu, Fe, Ni, P, Sn, Zn</t>
  </si>
  <si>
    <t>948.2865 ha</t>
  </si>
  <si>
    <t>964.8602 ha</t>
  </si>
  <si>
    <t>Ag, Au, Co, Fe, Ni, P, Pb, Pd, Sn</t>
  </si>
  <si>
    <t>948.1776 ha</t>
  </si>
  <si>
    <t>Ag, Au, Co, Cu, Fe, Ni, Pb, Sn, Zn</t>
  </si>
  <si>
    <t>974.7176 ha</t>
  </si>
  <si>
    <t>Ag, AMT, Au, Co, Cu, Ni, Sn, Zn</t>
  </si>
  <si>
    <t>897.1491 ha</t>
  </si>
  <si>
    <t>Trident Alloys Zambia Limited</t>
  </si>
  <si>
    <t>Ag, Au, Co, Cu, Ni, P, Pb, Sn, Zn</t>
  </si>
  <si>
    <t>34123.0045 ha</t>
  </si>
  <si>
    <t>Ag, AQM, Au, Be3Al2(SiO3)6, Cu, Fe, Pb, Zn</t>
  </si>
  <si>
    <t>89649.5666 ha</t>
  </si>
  <si>
    <t>65725.1660 ha</t>
  </si>
  <si>
    <t>Radiant Global Resources Limited</t>
  </si>
  <si>
    <t>Au, Co, Cu, Fe, Mn, Ni, Zn</t>
  </si>
  <si>
    <t>439.5167 ha</t>
  </si>
  <si>
    <t>Shearzone Resources Limited (100%)</t>
  </si>
  <si>
    <t>Au, Co, Cu, DIA, Ni, PGM</t>
  </si>
  <si>
    <t>21684.7071 ha</t>
  </si>
  <si>
    <t>Au, COA, GYP, Sn</t>
  </si>
  <si>
    <t>525.6929 ha</t>
  </si>
  <si>
    <t>Flycon Investment Limited</t>
  </si>
  <si>
    <t>399.3631 ha</t>
  </si>
  <si>
    <t>Gemini Mining Limited</t>
  </si>
  <si>
    <t>8347.2480 ha</t>
  </si>
  <si>
    <t>Shi and Yan Mining Development Limited</t>
  </si>
  <si>
    <t>Aura Mines Limited</t>
  </si>
  <si>
    <t>Ag, Au, Cu, Fe, Ni</t>
  </si>
  <si>
    <t>2322.7709 ha</t>
  </si>
  <si>
    <t>Mulonda Ngenda</t>
  </si>
  <si>
    <t>Ag, Au, Co, COA, Cu, Fe, Mn, Pb, Zn</t>
  </si>
  <si>
    <t>6.6340 ha</t>
  </si>
  <si>
    <t>Magnetic Mining Co. Ltd</t>
  </si>
  <si>
    <t>Ag, Au, Co, Cu, Fe, Ni, Zn</t>
  </si>
  <si>
    <t>24201.0968 ha</t>
  </si>
  <si>
    <t>Anglo Exploration Zambia Limited (100%)</t>
  </si>
  <si>
    <t>Au, Co, Cu, Fe, Ni, Pb, PGM, Zn</t>
  </si>
  <si>
    <t>57611.3424 ha</t>
  </si>
  <si>
    <t>Anglo Exploration Zambia Limited</t>
  </si>
  <si>
    <t>Ag, Co, Cu, Zn</t>
  </si>
  <si>
    <t>28272.5362 ha</t>
  </si>
  <si>
    <t>14316.1477 ha</t>
  </si>
  <si>
    <t>Au, Co, Cu, Fe, Ni, PGM, Zn</t>
  </si>
  <si>
    <t>78499.8308 ha</t>
  </si>
  <si>
    <t>Au, Co, Cu, Fe, Mo, Ni, Pt, Zn</t>
  </si>
  <si>
    <t>51564.9825 ha</t>
  </si>
  <si>
    <t>GSY Construction Zambia Limited (100%)</t>
  </si>
  <si>
    <t>618.6658 ha</t>
  </si>
  <si>
    <t>Tropical Land Investments Limited (100%)</t>
  </si>
  <si>
    <t>GRT, P</t>
  </si>
  <si>
    <t>2371.8339 ha</t>
  </si>
  <si>
    <t>Armada Projects Zambia Ltd (100%)</t>
  </si>
  <si>
    <t>94839.2043 ha</t>
  </si>
  <si>
    <t>Armada Projects Zambia Limited</t>
  </si>
  <si>
    <t>95423.9461 ha</t>
  </si>
  <si>
    <t>97673.5681 ha</t>
  </si>
  <si>
    <t>Workman Construction Zambia Limited (100%)</t>
  </si>
  <si>
    <t>Ag, Au, Cu, Fe, Zn</t>
  </si>
  <si>
    <t>1375.5579 ha</t>
  </si>
  <si>
    <t>Designer Rocks Zambia Limited</t>
  </si>
  <si>
    <t>DOL, LST, MBL</t>
  </si>
  <si>
    <t>36138.9786 ha</t>
  </si>
  <si>
    <t>Ag, Au, Co, Cu, Ni, Pb, Zn</t>
  </si>
  <si>
    <t>4208.6394 ha</t>
  </si>
  <si>
    <t>Rio Tinto Exploration Zambia Limited</t>
  </si>
  <si>
    <t>962.6796 ha</t>
  </si>
  <si>
    <t>Efficient Solutions Limited (100%)</t>
  </si>
  <si>
    <t>CLY, CLY3, SIL</t>
  </si>
  <si>
    <t>2202.8508 ha</t>
  </si>
  <si>
    <t>Windbelt Resources Limited (100%)</t>
  </si>
  <si>
    <t>Au, Co, Cr, Cu, Mo, Nb, Pb</t>
  </si>
  <si>
    <t>10637.5015 ha</t>
  </si>
  <si>
    <t>Windbelt Resources Limited</t>
  </si>
  <si>
    <t>Au, Co, Cr, Cu, Mo, Nb, P, Pb</t>
  </si>
  <si>
    <t>1289.0969 ha</t>
  </si>
  <si>
    <t>5695.5282 ha</t>
  </si>
  <si>
    <t>8521.0909 ha</t>
  </si>
  <si>
    <t>LP Distributors Limited (100%)</t>
  </si>
  <si>
    <t>Ag, Au, Co, Cu, Fe, Pb</t>
  </si>
  <si>
    <t>388.6959 ha</t>
  </si>
  <si>
    <t>Wise Focus Mining Limited</t>
  </si>
  <si>
    <t>Ag, Au, Cu, Mn, QTZ, Sn, TML</t>
  </si>
  <si>
    <t>31526.5750 ha</t>
  </si>
  <si>
    <t>Sew Rara Minerals Zambia Limited</t>
  </si>
  <si>
    <t>393.7637 ha</t>
  </si>
  <si>
    <t>Brxton Construction Limited (100%)</t>
  </si>
  <si>
    <t>13502.0328 ha</t>
  </si>
  <si>
    <t>Kaindu Palace Enterprises Ltd</t>
  </si>
  <si>
    <t>39.7038 ha</t>
  </si>
  <si>
    <t>Zejun Investment Limited</t>
  </si>
  <si>
    <t>AMT, Au, Cu, Mn, QTZ</t>
  </si>
  <si>
    <t>Co, Cu, Fe, Pb</t>
  </si>
  <si>
    <t>63759.0258 ha</t>
  </si>
  <si>
    <t>Cleomart Ventures Limited</t>
  </si>
  <si>
    <t>QTZ, TML</t>
  </si>
  <si>
    <t>6.6344 ha</t>
  </si>
  <si>
    <t>Moxico Resources Zambia Limited</t>
  </si>
  <si>
    <t>16812.0482 ha</t>
  </si>
  <si>
    <t>African Horse Mining co. Ltd</t>
  </si>
  <si>
    <t>83.4785 ha</t>
  </si>
  <si>
    <t>Lamius Nyeleti</t>
  </si>
  <si>
    <t>QTZ</t>
  </si>
  <si>
    <t>Timothy Lubelenga</t>
  </si>
  <si>
    <t>Pending Renewal</t>
  </si>
  <si>
    <t>Ag, AQM, Au, Be3Al2(SiO3)6, Co, Cu, Nb, Pb, Sr, TML, Zn</t>
  </si>
  <si>
    <t>23903.7632 ha</t>
  </si>
  <si>
    <t>Hm Mukuluka General Dealers Limited</t>
  </si>
  <si>
    <t>794.0359 ha</t>
  </si>
  <si>
    <t>Suyog Natural Resources Limited (100%)</t>
  </si>
  <si>
    <t>Ag, Au, Bi, Co, COA, Mn, Pb, Sn, Zn</t>
  </si>
  <si>
    <t>34558.0353 ha</t>
  </si>
  <si>
    <t>Suyog Natural Resources Limited</t>
  </si>
  <si>
    <t>Ag, Au, B, Co, Cu, Mn, Pb, Sb, W, Zn</t>
  </si>
  <si>
    <t>15167.0672 ha</t>
  </si>
  <si>
    <t>Naven Quarries and Construction</t>
  </si>
  <si>
    <t>DOL, GRT, LST</t>
  </si>
  <si>
    <t>184.8594 ha</t>
  </si>
  <si>
    <t>Zamgraphite Resources Limited (100%)</t>
  </si>
  <si>
    <t>GRF</t>
  </si>
  <si>
    <t>96566.1604 ha</t>
  </si>
  <si>
    <t>Angie Mining Limited (100%)</t>
  </si>
  <si>
    <t>Au, Co, Cu, Mn, Zn</t>
  </si>
  <si>
    <t>2381.6800 ha</t>
  </si>
  <si>
    <t>African Pearl Estates Limited (100%)</t>
  </si>
  <si>
    <t>AMT, AQM, EM, QTZ, TML</t>
  </si>
  <si>
    <t>1359.2218 ha</t>
  </si>
  <si>
    <t>5210.6667 ha</t>
  </si>
  <si>
    <t>3548.0756 ha</t>
  </si>
  <si>
    <t>Zumran Mining and Exploration Limited</t>
  </si>
  <si>
    <t>Au, Cu, Mn</t>
  </si>
  <si>
    <t>626.3806 ha</t>
  </si>
  <si>
    <t>Sew Base Metals Zambia Limited</t>
  </si>
  <si>
    <t>Au, Co, Cu, K</t>
  </si>
  <si>
    <t>952.6587 ha</t>
  </si>
  <si>
    <t>Au, Co, Cu, Pt</t>
  </si>
  <si>
    <t>Sacko Mining Limited</t>
  </si>
  <si>
    <t>82.5631 ha</t>
  </si>
  <si>
    <t>Lenchi Investments Limited</t>
  </si>
  <si>
    <t>3796.9142 ha</t>
  </si>
  <si>
    <t>Linsang Investments Company Ltd (100%)</t>
  </si>
  <si>
    <t>MPL</t>
  </si>
  <si>
    <t>16.6777 ha</t>
  </si>
  <si>
    <t>Matalloy Company Limited (100%)</t>
  </si>
  <si>
    <t>Mn, QTZ</t>
  </si>
  <si>
    <t>Application Rejected</t>
  </si>
  <si>
    <t>19.9872 ha</t>
  </si>
  <si>
    <t>Laureates Mining Ventures Limited</t>
  </si>
  <si>
    <t>Ag, Au, Co, Cu, Ni, Zn</t>
  </si>
  <si>
    <t>Acke Investments Limited</t>
  </si>
  <si>
    <t>349.0695 ha</t>
  </si>
  <si>
    <t>990.0821 ha</t>
  </si>
  <si>
    <t>Kampoko Resources Ltd</t>
  </si>
  <si>
    <t>Fe, Mn, SIL, Zn</t>
  </si>
  <si>
    <t>400.8722 ha</t>
  </si>
  <si>
    <t>J &amp; D Manganese Explorers Limited (100%)</t>
  </si>
  <si>
    <t>LST</t>
  </si>
  <si>
    <t>Bushbuck Resources Limited (100%)</t>
  </si>
  <si>
    <t>Ag, Au, Co, Cu, Fe, Mn, Mo, Ni, Pb, Zn</t>
  </si>
  <si>
    <t>17579.8669 ha</t>
  </si>
  <si>
    <t>Fibrotile Enterprises Limited (100%)</t>
  </si>
  <si>
    <t>Ag, Au, Co, Cu, QTZ</t>
  </si>
  <si>
    <t>3190.5742 ha</t>
  </si>
  <si>
    <t>Investbuild Company Limited</t>
  </si>
  <si>
    <t>Pb, Zn</t>
  </si>
  <si>
    <t>159.0037 ha</t>
  </si>
  <si>
    <t>Bendu Transport Limited (100%)</t>
  </si>
  <si>
    <t>66.6746 ha</t>
  </si>
  <si>
    <t>327.7263 ha</t>
  </si>
  <si>
    <t>ZAHAV FLAGE MINING LIMITED</t>
  </si>
  <si>
    <t>399.2219 ha</t>
  </si>
  <si>
    <t>JBM Prospecting Limited</t>
  </si>
  <si>
    <t>CLY, DOL, LST, QTZ</t>
  </si>
  <si>
    <t>323.3507 ha</t>
  </si>
  <si>
    <t>Ifisuma Tafisa Bwangu Mining Company Ltd</t>
  </si>
  <si>
    <t>13.1858 ha</t>
  </si>
  <si>
    <t>998.3335 ha</t>
  </si>
  <si>
    <t>Folklands Mining Limited</t>
  </si>
  <si>
    <t>Ag, AMT, Sn, Ta, TML, Zn</t>
  </si>
  <si>
    <t>John Siyabonga Bungane</t>
  </si>
  <si>
    <t>Ag, Au, Bi, Co, Cu, Fe, Mn, Pb, Pt, Rh, Se, V, Zn</t>
  </si>
  <si>
    <t>Makeni College School of Nursing Limited</t>
  </si>
  <si>
    <t>Ag, am, Au, Br, Co, Cu, Fe, Ga, Hg, K, Mn, Mo, Na, Ni, Os, P, Pb, Pt, Rb, Ta, Ti, V, W, Zn, Zr</t>
  </si>
  <si>
    <t>40191.3233 ha</t>
  </si>
  <si>
    <t>Geoffrey Kapansa</t>
  </si>
  <si>
    <t>EM</t>
  </si>
  <si>
    <t>3.3321 ha</t>
  </si>
  <si>
    <t>Ruida Investments Limited</t>
  </si>
  <si>
    <t>690.2286 ha</t>
  </si>
  <si>
    <t>House of Minerals Limited</t>
  </si>
  <si>
    <t>Ag, Au, Cu</t>
  </si>
  <si>
    <t>942.5641 ha</t>
  </si>
  <si>
    <t>GSY Construction Zambia Limited</t>
  </si>
  <si>
    <t>Patrick Mumba</t>
  </si>
  <si>
    <t>3.3316 ha</t>
  </si>
  <si>
    <t>Mabiza Resources Limited</t>
  </si>
  <si>
    <t>Ag, Al, As, Au, Ba, Ca, Cd, Co, Cr, Cu, Fe, K, Li, Mg, Mn, Mo, Na, Ni, Pb, Pd, Pt, Rh, Sc, Sr, Ti, V</t>
  </si>
  <si>
    <t>Umuntu Resources Limited</t>
  </si>
  <si>
    <t>8132.7712 ha</t>
  </si>
  <si>
    <t>Sable Transport Limited</t>
  </si>
  <si>
    <t>Annico Investments Company Limited</t>
  </si>
  <si>
    <t>564.1478 ha</t>
  </si>
  <si>
    <t>460.7170 ha</t>
  </si>
  <si>
    <t>Zaaminco Mining Limited</t>
  </si>
  <si>
    <t>Cu, Mn</t>
  </si>
  <si>
    <t>Phedate Mining Limited</t>
  </si>
  <si>
    <t>958.4852 ha</t>
  </si>
  <si>
    <t>Ag, Co, Cu, Mn, Zn</t>
  </si>
  <si>
    <t>419.3713 ha</t>
  </si>
  <si>
    <t>SEW Minerals Zambia Limited</t>
  </si>
  <si>
    <t>377.0485 ha</t>
  </si>
  <si>
    <t>377.0894 ha</t>
  </si>
  <si>
    <t>Dorica Phiri</t>
  </si>
  <si>
    <t>AQM, Mn, QTZ, TML</t>
  </si>
  <si>
    <t>6.6584 ha</t>
  </si>
  <si>
    <t>Jewel Of africa (100%)</t>
  </si>
  <si>
    <t>3039.5507 ha</t>
  </si>
  <si>
    <t>JM GEO Engineering Limited</t>
  </si>
  <si>
    <t>Ag, Au, Cu, DOL, GRT, LST, Mn, Mo, Ni, PGM</t>
  </si>
  <si>
    <t>5315.7268 ha</t>
  </si>
  <si>
    <t>Malikuki Elia</t>
  </si>
  <si>
    <t>6.6812 ha</t>
  </si>
  <si>
    <t>Fisonge Ilufya Small Scale Mining Cooperative Club</t>
  </si>
  <si>
    <t>AMT, AQM, Be3Al2(SiO3)6, GAR, QTZ</t>
  </si>
  <si>
    <t>6.6913 ha</t>
  </si>
  <si>
    <t>Kenantony Mining Limited</t>
  </si>
  <si>
    <t>Au, Co, Cu, Fe, Mn, Ni, Ti, Zn</t>
  </si>
  <si>
    <t>Dalobelt Zambia Limited</t>
  </si>
  <si>
    <t>1118.1430 ha</t>
  </si>
  <si>
    <t>Trovel distributors Limited (100%)</t>
  </si>
  <si>
    <t>Ag, Au, Co, Cu, Fe, Mn, Pb, Zn</t>
  </si>
  <si>
    <t>377.6768 ha</t>
  </si>
  <si>
    <t>Drecks Mining Limited (100%)</t>
  </si>
  <si>
    <t>6.5890 ha</t>
  </si>
  <si>
    <t>Broken Hill Marketing Limited</t>
  </si>
  <si>
    <t>Au, Co, Cu, LST, Pb, Sn, Zn</t>
  </si>
  <si>
    <t>100.2715 ha</t>
  </si>
  <si>
    <t>Lamasat International Zambia Limited</t>
  </si>
  <si>
    <t>9633.9056 ha</t>
  </si>
  <si>
    <t>United Gypsum Investments Limited</t>
  </si>
  <si>
    <t>26655.0955 ha</t>
  </si>
  <si>
    <t>Co, Cu, Fe</t>
  </si>
  <si>
    <t>5543.5918 ha</t>
  </si>
  <si>
    <t>Mkula Mining Limited</t>
  </si>
  <si>
    <t>Au, Co, Cu, Fe, Mn, Ni, Sn, Ta, Zn</t>
  </si>
  <si>
    <t>988.4100 ha</t>
  </si>
  <si>
    <t>988.3892 ha</t>
  </si>
  <si>
    <t>991.6991 ha</t>
  </si>
  <si>
    <t>Chapamo Enterprises Limited</t>
  </si>
  <si>
    <t>Au, Co, COA1, COA2, COA3, Cu, Zn</t>
  </si>
  <si>
    <t>15366.4139 ha</t>
  </si>
  <si>
    <t>Michael Pasquini</t>
  </si>
  <si>
    <t>6.5938 ha</t>
  </si>
  <si>
    <t>Prekas Company Limited</t>
  </si>
  <si>
    <t>Ag, Au, Co, Cu, Fe, LST, Zn</t>
  </si>
  <si>
    <t>450.7429 ha</t>
  </si>
  <si>
    <t>Ingwe Royal Establishment &amp; Development Initiative Limited</t>
  </si>
  <si>
    <t>9938.1994 ha</t>
  </si>
  <si>
    <t>26331.5114 ha</t>
  </si>
  <si>
    <t>90282.1594 ha</t>
  </si>
  <si>
    <t>Au, Co, Cu, Fe</t>
  </si>
  <si>
    <t>985.5603 ha</t>
  </si>
  <si>
    <t>Olibul Investments Limited</t>
  </si>
  <si>
    <t>280.7076 ha</t>
  </si>
  <si>
    <t>Zumamupetawaenga Mining Limited</t>
  </si>
  <si>
    <t>am, AQM, QTZ, SiO2, TML</t>
  </si>
  <si>
    <t>365.1458 ha</t>
  </si>
  <si>
    <t>Ag, Au, Co, Cu, Mn, Ni, Zn</t>
  </si>
  <si>
    <t>Nashutech Computers Limited</t>
  </si>
  <si>
    <t>Kataba Investments Limited</t>
  </si>
  <si>
    <t>Humphrey Nsalamba</t>
  </si>
  <si>
    <t>6.6763 ha</t>
  </si>
  <si>
    <t>Ag, Au, Cu, W</t>
  </si>
  <si>
    <t>Tip Top Mining Limited</t>
  </si>
  <si>
    <t>AQM, QTZ, SiO2, TML</t>
  </si>
  <si>
    <t>146.9210 ha</t>
  </si>
  <si>
    <t>Yvette Mwengwe Mutenta</t>
  </si>
  <si>
    <t>AQM, GAR, Gr tourm, QTZ</t>
  </si>
  <si>
    <t>6.6965 ha</t>
  </si>
  <si>
    <t>Southern-Gulf Logistics &amp; Solutions Limited</t>
  </si>
  <si>
    <t>Mwilwa Investements and Minerals Zambia Limted.</t>
  </si>
  <si>
    <t>Ag, Au, Co, Cu, GRF, Mn, Ni, U</t>
  </si>
  <si>
    <t>12705.5345 ha</t>
  </si>
  <si>
    <t>Ag, AMT, Au, Co, Cu, EM, Fe, GAR, Mn, QTZ, TML</t>
  </si>
  <si>
    <t>2575.1521 ha</t>
  </si>
  <si>
    <t>Moffat Mwale</t>
  </si>
  <si>
    <t>6.6137 ha</t>
  </si>
  <si>
    <t>Victor Siame</t>
  </si>
  <si>
    <t>6.6140 ha</t>
  </si>
  <si>
    <t>Grassroots Copper Limited</t>
  </si>
  <si>
    <t>Ag, Au, Co, Cu, Mo, Ni, Pb, Zn</t>
  </si>
  <si>
    <t>10646.8589 ha</t>
  </si>
  <si>
    <t>Gallup Trading Limited</t>
  </si>
  <si>
    <t>GRT, MBL</t>
  </si>
  <si>
    <t>3904.9700 ha</t>
  </si>
  <si>
    <t>Kayden Investments Limited</t>
  </si>
  <si>
    <t>475.2524 ha</t>
  </si>
  <si>
    <t>KJ Mining Investments Limited</t>
  </si>
  <si>
    <t>36.7002 ha</t>
  </si>
  <si>
    <t>Jin Gang Mining Limited</t>
  </si>
  <si>
    <t>Co, Cu, Mn, Pb, QTZ, Zn</t>
  </si>
  <si>
    <t>41837.4243 ha</t>
  </si>
  <si>
    <t>Mathews Kalikiti</t>
  </si>
  <si>
    <t>6.7488 ha</t>
  </si>
  <si>
    <t>Danny Mwelwa (100%)</t>
  </si>
  <si>
    <t>AQM, Cu, Mn, QTZ, TLC</t>
  </si>
  <si>
    <t>6.6589 ha</t>
  </si>
  <si>
    <t>Basic Stone Investment Limited</t>
  </si>
  <si>
    <t>1980.4504 ha</t>
  </si>
  <si>
    <t>Wise Focus Mining Limited (100%)</t>
  </si>
  <si>
    <t>AMT, Au, Cu, QTZ, TML</t>
  </si>
  <si>
    <t>10500.3415 ha</t>
  </si>
  <si>
    <t>Chilibwe Mining Limited (100%)</t>
  </si>
  <si>
    <t>277.9521 ha</t>
  </si>
  <si>
    <t>Au, Co, COA, Cu, Ni</t>
  </si>
  <si>
    <t>362.3054 ha</t>
  </si>
  <si>
    <t>LST, LST1, SDG</t>
  </si>
  <si>
    <t>991.5599 ha</t>
  </si>
  <si>
    <t>China Geo Engineering Corporation Southern African limited (100%)</t>
  </si>
  <si>
    <t>GRT, MBL, STN</t>
  </si>
  <si>
    <t>636.8118 ha</t>
  </si>
  <si>
    <t>Ag, Au, Co, Cu, Cu2CO3(OH)2, Fe, Mn, Pb, Zn</t>
  </si>
  <si>
    <t>6669.7114 ha</t>
  </si>
  <si>
    <t>2322.8138 ha</t>
  </si>
  <si>
    <t>Universal Mining and Chemical Industries Limited (100%)</t>
  </si>
  <si>
    <t>401.7863 ha</t>
  </si>
  <si>
    <t>952.1103 ha</t>
  </si>
  <si>
    <t>6.5877 ha</t>
  </si>
  <si>
    <t>MMG (Zambia) Exploration Limited (100%)</t>
  </si>
  <si>
    <t>63144.9522 ha</t>
  </si>
  <si>
    <t>49340.0788 ha</t>
  </si>
  <si>
    <t>Ag, Au, Cu, Fe, Ti, W</t>
  </si>
  <si>
    <t>41086.5748 ha</t>
  </si>
  <si>
    <t>Naven Quarries and Construction (100%)</t>
  </si>
  <si>
    <t>793.4755 ha</t>
  </si>
  <si>
    <t>805.0105 ha</t>
  </si>
  <si>
    <t>Merriman international Limited (100%)</t>
  </si>
  <si>
    <t>am, AMT, AQM, QTZ, TML</t>
  </si>
  <si>
    <t>1074.7963 ha</t>
  </si>
  <si>
    <t>Emuna Mining Limited</t>
  </si>
  <si>
    <t>10524.2474 ha</t>
  </si>
  <si>
    <t>10950.1661 ha</t>
  </si>
  <si>
    <t>Wamba kantong'a Mining Limited (100%)</t>
  </si>
  <si>
    <t>Au, Co, Cu, Fe, Mn, Pb, Zn</t>
  </si>
  <si>
    <t>903.6902 ha</t>
  </si>
  <si>
    <t>Aabrick Zambia Limited (100%)</t>
  </si>
  <si>
    <t>CLY</t>
  </si>
  <si>
    <t>401.6845 ha</t>
  </si>
  <si>
    <t>Sefu Corporation Limited (100%)</t>
  </si>
  <si>
    <t>9299.2014 ha</t>
  </si>
  <si>
    <t>Sabi Minerals Limited (100%)</t>
  </si>
  <si>
    <t>Ag, Au, Co, Cu, Fe, Pb, Zn</t>
  </si>
  <si>
    <t>890.0033 ha</t>
  </si>
  <si>
    <t>Komuga Limited (100%)</t>
  </si>
  <si>
    <t>10571.3025 ha</t>
  </si>
  <si>
    <t>IMSL Mining Investment Limited (100%)</t>
  </si>
  <si>
    <t>1723.7968 ha</t>
  </si>
  <si>
    <t>Blue Oceans Minerals &amp; Metals Ltd</t>
  </si>
  <si>
    <t>960.0866 ha</t>
  </si>
  <si>
    <t>Ag, Au, Co, Cu, Fe, Ni, Pb, Sn, Ti, W, Zn</t>
  </si>
  <si>
    <t>8711.5566 ha</t>
  </si>
  <si>
    <t>Zambale Mine Limited</t>
  </si>
  <si>
    <t>2707.9911 ha</t>
  </si>
  <si>
    <t>Limeco Resources Limited</t>
  </si>
  <si>
    <t>382.6773 ha</t>
  </si>
  <si>
    <t>Simmer Enterprises Limited</t>
  </si>
  <si>
    <t>342.9618 ha</t>
  </si>
  <si>
    <t>Pricems Mining &amp; Trading</t>
  </si>
  <si>
    <t>68.5530 ha</t>
  </si>
  <si>
    <t>Joseph Mwansa</t>
  </si>
  <si>
    <t>6.6781 ha</t>
  </si>
  <si>
    <t>Kapjoy Mining Limited</t>
  </si>
  <si>
    <t>369.3292 ha</t>
  </si>
  <si>
    <t>Ndola Quarries Limited</t>
  </si>
  <si>
    <t>Ag, Au, Cu, Fe, Mn, Pb, Zn</t>
  </si>
  <si>
    <t>7910.1159 ha</t>
  </si>
  <si>
    <t>Merriman international Limited</t>
  </si>
  <si>
    <t>AMT, AQM, QTZ, SiO2, TML</t>
  </si>
  <si>
    <t>29003.5186 ha</t>
  </si>
  <si>
    <t>Tranquil Investments Events &amp; Hire Limited</t>
  </si>
  <si>
    <t>13260.6572 ha</t>
  </si>
  <si>
    <t>Linfield Resources Limited</t>
  </si>
  <si>
    <t>4116.4376 ha</t>
  </si>
  <si>
    <t>Mulenga Palace Kafwilo</t>
  </si>
  <si>
    <t>AMT, AQM, DIA, EM, GAR, QTZ, RBY, S, TML</t>
  </si>
  <si>
    <t>6.7590 ha</t>
  </si>
  <si>
    <t>IMME Investment Limited</t>
  </si>
  <si>
    <t>Ag, Au, Co, Cu, Fe, Pb, REE</t>
  </si>
  <si>
    <t>1126.6000 ha</t>
  </si>
  <si>
    <t>2126.0921 ha</t>
  </si>
  <si>
    <t>21302.3294 ha</t>
  </si>
  <si>
    <t>791.3037 ha</t>
  </si>
  <si>
    <t>Sabi Minerals Limited</t>
  </si>
  <si>
    <t>23467.1916 ha</t>
  </si>
  <si>
    <t>959.3175 ha</t>
  </si>
  <si>
    <t>Chindamba Mining Limited</t>
  </si>
  <si>
    <t>Cu, Fe, Mn</t>
  </si>
  <si>
    <t>42674.9719 ha</t>
  </si>
  <si>
    <t>Cu, Fe, LST, Mn</t>
  </si>
  <si>
    <t>46660.3600 ha</t>
  </si>
  <si>
    <t>Au, CLY, Fe, Mg, Pb, Zn</t>
  </si>
  <si>
    <t>3267.1896 ha</t>
  </si>
  <si>
    <t>3424.1201 ha</t>
  </si>
  <si>
    <t>12574.6928 ha</t>
  </si>
  <si>
    <t>6796.6625 ha</t>
  </si>
  <si>
    <t>Shitele Mining Company Limited</t>
  </si>
  <si>
    <t>999.1469 ha</t>
  </si>
  <si>
    <t>Kudikwasha Construction &amp; General Dealers Limited</t>
  </si>
  <si>
    <t>891.8233 ha</t>
  </si>
  <si>
    <t>673.7908 ha</t>
  </si>
  <si>
    <t>Abantu Kugwilizana Mining Limited</t>
  </si>
  <si>
    <t>AMT, AQM, Cu, GAR, QTZ, SiO2, TML</t>
  </si>
  <si>
    <t>573.6893 ha</t>
  </si>
  <si>
    <t>Ag, AMT, Au, Co, Cu</t>
  </si>
  <si>
    <t>14406.6874 ha</t>
  </si>
  <si>
    <t>534.9541 ha</t>
  </si>
  <si>
    <t>African Power Coal Limited</t>
  </si>
  <si>
    <t>Ag, Au, Co, COA, Cu, Fe, Ni</t>
  </si>
  <si>
    <t>13386.4747 ha</t>
  </si>
  <si>
    <t>Chrinikap Industrial Supplies Limited</t>
  </si>
  <si>
    <t>66.7326 ha</t>
  </si>
  <si>
    <t>902.7575 ha</t>
  </si>
  <si>
    <t>494.3662 ha</t>
  </si>
  <si>
    <t>Doreen Masuwa Kalenda</t>
  </si>
  <si>
    <t>6.6638 ha</t>
  </si>
  <si>
    <t>Andrew Kalenda Kayonde</t>
  </si>
  <si>
    <t>6.6637 ha</t>
  </si>
  <si>
    <t>Sunshine Eagle Mining Ltd</t>
  </si>
  <si>
    <t>Co, Cu</t>
  </si>
  <si>
    <t>990.0499 ha</t>
  </si>
  <si>
    <t>IMSL Mining Investment Limited</t>
  </si>
  <si>
    <t>Tangzan Investments Limited</t>
  </si>
  <si>
    <t>SiO2</t>
  </si>
  <si>
    <t>Be3Al2(SiO3)6, COR, GAR, MIC, TML</t>
  </si>
  <si>
    <t>Elidah Mining Limited</t>
  </si>
  <si>
    <t>AMT, Sn, TML</t>
  </si>
  <si>
    <t>Pentagon Resources Limited</t>
  </si>
  <si>
    <t>Ag, Au, Co, Cu, Fe, GRF, Mn, Ni, Th</t>
  </si>
  <si>
    <t>688.9845 ha</t>
  </si>
  <si>
    <t>Au, Cu, GRT</t>
  </si>
  <si>
    <t>979.1050 ha</t>
  </si>
  <si>
    <t>Be3Al2(SiO3)6, EM, TML</t>
  </si>
  <si>
    <t>643.0943 ha</t>
  </si>
  <si>
    <t>Plastic Shop Limited</t>
  </si>
  <si>
    <t>Au, Co, Cu, Fe, REE</t>
  </si>
  <si>
    <t>Cu, Mn, QTZ, SiO2</t>
  </si>
  <si>
    <t>Minerex Mining Limited</t>
  </si>
  <si>
    <t>Au, Co, Cu, Fe, Zn</t>
  </si>
  <si>
    <t>5315.2673 ha</t>
  </si>
  <si>
    <t>Phelps Dodge Mining (Zambia) Limited</t>
  </si>
  <si>
    <t>Au, Co, Cu, DIA, Ni, Pb, Zn</t>
  </si>
  <si>
    <t>128338.9486 ha</t>
  </si>
  <si>
    <t>Mukango Mine Limited</t>
  </si>
  <si>
    <t>Ag, Au, Co, Cu, Mo, Sn</t>
  </si>
  <si>
    <t>22999.2406 ha</t>
  </si>
  <si>
    <t>11146.9025 ha</t>
  </si>
  <si>
    <t>9744.8272 ha</t>
  </si>
  <si>
    <t>Adam Jansen Mwandila</t>
  </si>
  <si>
    <t>GRT, SDG, STN</t>
  </si>
  <si>
    <t>6.5173 ha</t>
  </si>
  <si>
    <t>Ag, AQM, Au, Be3Al2(SiO3)6, Co, COR, Cu, EM, GAR, Li, Mo, Nb, Ni, Pd, Pt, RBY, S</t>
  </si>
  <si>
    <t>36333.4663 ha</t>
  </si>
  <si>
    <t>Epiphania Kaundula</t>
  </si>
  <si>
    <t>Fe</t>
  </si>
  <si>
    <t>Albertina Mwansa Kashiba</t>
  </si>
  <si>
    <t>Ag, Au, Co, Cu, Zn</t>
  </si>
  <si>
    <t>3.3381 ha</t>
  </si>
  <si>
    <t>Kalymnos Processing Limited</t>
  </si>
  <si>
    <t>872.3011 ha</t>
  </si>
  <si>
    <t>Zumran Mining and Exploration Limited (100%)</t>
  </si>
  <si>
    <t>7601.9589 ha</t>
  </si>
  <si>
    <t>2789.7841 ha</t>
  </si>
  <si>
    <t>Aarey Investments Limited (100%)</t>
  </si>
  <si>
    <t>6216.3281 ha</t>
  </si>
  <si>
    <t>Maybach Consultancy &amp; Resources Limited</t>
  </si>
  <si>
    <t>1961.4235 ha</t>
  </si>
  <si>
    <t>Shenglong Investments Limited (100%)</t>
  </si>
  <si>
    <t>22715.5281 ha</t>
  </si>
  <si>
    <t>Kampoko Resources Ltd (100%)</t>
  </si>
  <si>
    <t>Au, Cu, Fe, GRT, Mn, QTZ, SIL</t>
  </si>
  <si>
    <t>258.6327 ha</t>
  </si>
  <si>
    <t>Cassius Kaimano (100%)</t>
  </si>
  <si>
    <t>AQM, Au, Co, Cu, Fe, GAR, LST, Mn, QTZ, TML, Zn</t>
  </si>
  <si>
    <t>6.6731 ha</t>
  </si>
  <si>
    <t>Solwezi Cement Limited (100%)</t>
  </si>
  <si>
    <t>36.7132 ha</t>
  </si>
  <si>
    <t>Au, COA, Fe, PGM</t>
  </si>
  <si>
    <t>1423.6656 ha</t>
  </si>
  <si>
    <t>Kalymnos Processing Limited (100%)</t>
  </si>
  <si>
    <t>196.9524 ha</t>
  </si>
  <si>
    <t>680.0275 ha</t>
  </si>
  <si>
    <t>388.4849 ha</t>
  </si>
  <si>
    <t>Sew Base Metals Zambia Limited (100%)</t>
  </si>
  <si>
    <t>Ag, Au, Co, Cu, Pt, Ti, W</t>
  </si>
  <si>
    <t>383.6818 ha</t>
  </si>
  <si>
    <t>Co, Cu, Fe, Mn, Pb, Sn</t>
  </si>
  <si>
    <t>395.6978 ha</t>
  </si>
  <si>
    <t>11266.3783 ha</t>
  </si>
  <si>
    <t>Humphrey Nsalamba (100%)</t>
  </si>
  <si>
    <t>Ag, Au, Co, Cu, Fe, LST, Pb, SIL, Zn</t>
  </si>
  <si>
    <t>6.6818 ha</t>
  </si>
  <si>
    <t>Pricems Mining &amp; Trading Limited (100%)</t>
  </si>
  <si>
    <t>843.1489 ha</t>
  </si>
  <si>
    <t>Makuka Mining Resources Limited (100%)</t>
  </si>
  <si>
    <t>964.8167 ha</t>
  </si>
  <si>
    <t>M.G.I KRUZ AUTO LINK LTD (100%)</t>
  </si>
  <si>
    <t>954.6493 ha</t>
  </si>
  <si>
    <t>934.3452 ha</t>
  </si>
  <si>
    <t>Jinhong Investments Company Limited</t>
  </si>
  <si>
    <t>53064.0877 ha</t>
  </si>
  <si>
    <t>19396.5110 ha</t>
  </si>
  <si>
    <t>27181.9630 ha</t>
  </si>
  <si>
    <t>Orbit Suppliers &amp; Construction Limited</t>
  </si>
  <si>
    <t>310.4538 ha</t>
  </si>
  <si>
    <t>Avasya Sew Zambia Limited</t>
  </si>
  <si>
    <t>952.2066 ha</t>
  </si>
  <si>
    <t>849.7961 ha</t>
  </si>
  <si>
    <t>892.6324 ha</t>
  </si>
  <si>
    <t>Bether Mwanza</t>
  </si>
  <si>
    <t>Au, Cu, Fe, Mn, Pb, QTZ, Zn</t>
  </si>
  <si>
    <t>6.6586 ha</t>
  </si>
  <si>
    <t>Jivundu Mining Resources Limited</t>
  </si>
  <si>
    <t>120.2004 ha</t>
  </si>
  <si>
    <t>Cassius Mwape Kaimamo</t>
  </si>
  <si>
    <t>Au, Co, Cu, Fe, Mn</t>
  </si>
  <si>
    <t>3.3363 ha</t>
  </si>
  <si>
    <t>Daud Barak Company Limited</t>
  </si>
  <si>
    <t>373.8098 ha</t>
  </si>
  <si>
    <t>Pridegems Mines Limited</t>
  </si>
  <si>
    <t>Ag, AMT, AQM, Au, Cu, EM, Mn, QTZ, Zn</t>
  </si>
  <si>
    <t>Uaunico Exploration Limited</t>
  </si>
  <si>
    <t>2926.4497 ha</t>
  </si>
  <si>
    <t>AMT, Au, Cu, QTZ</t>
  </si>
  <si>
    <t>20660.7095 ha</t>
  </si>
  <si>
    <t>Christine Mwamba</t>
  </si>
  <si>
    <t>6.6915 ha</t>
  </si>
  <si>
    <t>Ag, AQM, Au, Co, Cu</t>
  </si>
  <si>
    <t>82143.4170 ha</t>
  </si>
  <si>
    <t>Dohn Investments Limited</t>
  </si>
  <si>
    <t>AQM, Au, Cu, LST, P, QTZ</t>
  </si>
  <si>
    <t>667.4815 ha</t>
  </si>
  <si>
    <t>1286.0973 ha</t>
  </si>
  <si>
    <t>Sellome Investments Limited</t>
  </si>
  <si>
    <t>Au, Co, Cu, Fe, LST, Ni, TLC</t>
  </si>
  <si>
    <t>14092.9521 ha</t>
  </si>
  <si>
    <t>Ag, Au, Co, Cu, Fe, TLC</t>
  </si>
  <si>
    <t>18086.1003 ha</t>
  </si>
  <si>
    <t>Martford Mumba</t>
  </si>
  <si>
    <t>AQM, Au, GAR, GRT, QTZ, TML</t>
  </si>
  <si>
    <t>6.6834 ha</t>
  </si>
  <si>
    <t>Emmanuel Banda</t>
  </si>
  <si>
    <t>GoodRock Zambia Limited</t>
  </si>
  <si>
    <t>Sizuma Minerals and Gemstone Dealers Limited</t>
  </si>
  <si>
    <t>958.0127 ha</t>
  </si>
  <si>
    <t>F-Net Zambia Limited</t>
  </si>
  <si>
    <t>948.4410 ha</t>
  </si>
  <si>
    <t>Jayline Investments Limited</t>
  </si>
  <si>
    <t>GRT, LST, MBL</t>
  </si>
  <si>
    <t>293.9598 ha</t>
  </si>
  <si>
    <t>Tancol Minerals Limited</t>
  </si>
  <si>
    <t>AQM, CC, Nb, QTZ, Ta, TML</t>
  </si>
  <si>
    <t>560.8555 ha</t>
  </si>
  <si>
    <t>991.4835 ha</t>
  </si>
  <si>
    <t>PECAS Suppliers &amp; Logistics Limited</t>
  </si>
  <si>
    <t>Gladys Kashimoto</t>
  </si>
  <si>
    <t>GRT, LST</t>
  </si>
  <si>
    <t>6.6733 ha</t>
  </si>
  <si>
    <t>Oxygen Group Wood Trading Limited</t>
  </si>
  <si>
    <t>Ag, Au, Co, Cu, Pb, Sn, Ta, Zn</t>
  </si>
  <si>
    <t>Seanchan Investment Limited</t>
  </si>
  <si>
    <t>Xingda Company Limited</t>
  </si>
  <si>
    <t>Reycus Supply Zambia Limited</t>
  </si>
  <si>
    <t>330.4375 ha</t>
  </si>
  <si>
    <t>AQM, Au, CC, Nb, QTZ, Ta, TML</t>
  </si>
  <si>
    <t>965.0169 ha</t>
  </si>
  <si>
    <t>Dimension Mining (DEMO - Do not use) (100%), User Portal (0%)</t>
  </si>
  <si>
    <t>P_LEL</t>
  </si>
  <si>
    <t>Inactive</t>
  </si>
  <si>
    <t>488.4862 ha</t>
  </si>
  <si>
    <t>834.9115 ha</t>
  </si>
  <si>
    <t>Kariba Minerals Limited (100%)</t>
  </si>
  <si>
    <t>AMT</t>
  </si>
  <si>
    <t>253.9767 ha</t>
  </si>
  <si>
    <t>Emmanuel and Joseph Scrap Metal Co. Ltd. (100%)</t>
  </si>
  <si>
    <t>40.0967 ha</t>
  </si>
  <si>
    <t>Jodam Mining Co. limited (100%), Kankan Mining Co. Limited (0%)</t>
  </si>
  <si>
    <t>353.2061 ha</t>
  </si>
  <si>
    <t>Gemfields Holdings Zambia (100%)</t>
  </si>
  <si>
    <t>Be3Al2(SiO3)6, EM</t>
  </si>
  <si>
    <t>183.5883 ha</t>
  </si>
  <si>
    <t>Andrew Maybin Chansa (100%)</t>
  </si>
  <si>
    <t>169.7589 ha</t>
  </si>
  <si>
    <t>Pritchard Ndhahu Haamuleya (100%)</t>
  </si>
  <si>
    <t>AQM</t>
  </si>
  <si>
    <t>472.7901 ha</t>
  </si>
  <si>
    <t>Rabby Kamaukwamba (100%)</t>
  </si>
  <si>
    <t>39986.3984 ha</t>
  </si>
  <si>
    <t>First Quantum Mining &amp; Operations Limited (100%)</t>
  </si>
  <si>
    <t>5500.2900 ha</t>
  </si>
  <si>
    <t>Norodom Mines Limited (100%)</t>
  </si>
  <si>
    <t>12.8771 ha</t>
  </si>
  <si>
    <t>Marumo Gem Merchants Limited (100%)</t>
  </si>
  <si>
    <t>Be3Al2(SiO3)6</t>
  </si>
  <si>
    <t>36.3100 ha</t>
  </si>
  <si>
    <t>Jace Enterprises Limited (100%)</t>
  </si>
  <si>
    <t>108.4390 ha</t>
  </si>
  <si>
    <t>Maamba Colieries Limited (100%)</t>
  </si>
  <si>
    <t>PYR</t>
  </si>
  <si>
    <t>92.2718 ha</t>
  </si>
  <si>
    <t>245.4800 ha</t>
  </si>
  <si>
    <t>Yu Wang Ping (0%)</t>
  </si>
  <si>
    <t>82.4340 ha</t>
  </si>
  <si>
    <t>Scirocco Enterprises Limited (100%)</t>
  </si>
  <si>
    <t>398.8550 ha</t>
  </si>
  <si>
    <t>Crushed Stone Sales Limited (100%)</t>
  </si>
  <si>
    <t>42.8814 ha</t>
  </si>
  <si>
    <t>32.9900 ha</t>
  </si>
  <si>
    <t>118.6827 ha</t>
  </si>
  <si>
    <t>Lusaka Quarry &amp; Rock Blasting Limited (100%)</t>
  </si>
  <si>
    <t>MBL</t>
  </si>
  <si>
    <t>260.4785 ha</t>
  </si>
  <si>
    <t>Bwisa Mines limited (100%)</t>
  </si>
  <si>
    <t>41.4041 ha</t>
  </si>
  <si>
    <t>Bangweulu Batteries Limited (100%)</t>
  </si>
  <si>
    <t>241.9156 ha</t>
  </si>
  <si>
    <t>Nkana General Delalers Ltd (100%)</t>
  </si>
  <si>
    <t>49.0644 ha</t>
  </si>
  <si>
    <t>GTM Stone Limited (100%)</t>
  </si>
  <si>
    <t>148.4255 ha</t>
  </si>
  <si>
    <t>Chilanga Cement Plc</t>
  </si>
  <si>
    <t>260.0588 ha</t>
  </si>
  <si>
    <t>Dabwisa Mining Co-operative Society Limited (100%)</t>
  </si>
  <si>
    <t>83.8235 ha</t>
  </si>
  <si>
    <t>Fitole Gem Mines Limited (100%)</t>
  </si>
  <si>
    <t>74.9065 ha</t>
  </si>
  <si>
    <t>Abar International Investments Limited (100%)</t>
  </si>
  <si>
    <t>147.2000 ha</t>
  </si>
  <si>
    <t>Precious Transparency Limited (100%)</t>
  </si>
  <si>
    <t>76.4693 ha</t>
  </si>
  <si>
    <t>Phoenix Materials Limited</t>
  </si>
  <si>
    <t>180.0048 ha</t>
  </si>
  <si>
    <t>Chicha Enterprises (100%)</t>
  </si>
  <si>
    <t>STN1</t>
  </si>
  <si>
    <t>19.7928 ha</t>
  </si>
  <si>
    <t>Citadel Minerals Limited (100%)</t>
  </si>
  <si>
    <t>384.6230 ha</t>
  </si>
  <si>
    <t>LIFUTI INVESTMENTS LIMITED</t>
  </si>
  <si>
    <t>AMT, QTZ</t>
  </si>
  <si>
    <t>129.0468 ha</t>
  </si>
  <si>
    <t>Sable Transport Limited (100%)</t>
  </si>
  <si>
    <t>337.1502 ha</t>
  </si>
  <si>
    <t>Gilcon Zambia Limited (100%)</t>
  </si>
  <si>
    <t>395.3414 ha</t>
  </si>
  <si>
    <t>STN2</t>
  </si>
  <si>
    <t>400.4827 ha</t>
  </si>
  <si>
    <t>Boston Kapala Mutondo (100%)</t>
  </si>
  <si>
    <t>99.6400 ha</t>
  </si>
  <si>
    <t>Musanya Quarries Limited</t>
  </si>
  <si>
    <t>397.5914 ha</t>
  </si>
  <si>
    <t>Winter Libbohole (100%)</t>
  </si>
  <si>
    <t>309.3569 ha</t>
  </si>
  <si>
    <t>Hetro Mining and Ore Dealers Limited (100%)</t>
  </si>
  <si>
    <t>735.6935 ha</t>
  </si>
  <si>
    <t>Kabuswe Chibesakunda (100%)</t>
  </si>
  <si>
    <t>120.9387 ha</t>
  </si>
  <si>
    <t>Starfield Minerals Limited (100%)</t>
  </si>
  <si>
    <t>Ta</t>
  </si>
  <si>
    <t>392.1233 ha</t>
  </si>
  <si>
    <t>Turtle Agro Mining Limited (100%)</t>
  </si>
  <si>
    <t>42.6797 ha</t>
  </si>
  <si>
    <t>Sharma Brothers International Limited (100%)</t>
  </si>
  <si>
    <t>Cu2CO3(OH)2</t>
  </si>
  <si>
    <t>479.7471 ha</t>
  </si>
  <si>
    <t>Mutelo Sipaka (100%)</t>
  </si>
  <si>
    <t>QTZ, SAM</t>
  </si>
  <si>
    <t>280.3758 ha</t>
  </si>
  <si>
    <t>Prime Marble Ltd (100%)</t>
  </si>
  <si>
    <t>138.4934 ha</t>
  </si>
  <si>
    <t>Prime Marble Products (100%)</t>
  </si>
  <si>
    <t>29.6595 ha</t>
  </si>
  <si>
    <t>13.1985 ha</t>
  </si>
  <si>
    <t>49.4523 ha</t>
  </si>
  <si>
    <t>WangSheng Mining Comapany Limited (100%)</t>
  </si>
  <si>
    <t>262.2540 ha</t>
  </si>
  <si>
    <t>ZAKOR Metals Ltd (100%)</t>
  </si>
  <si>
    <t>39.9756 ha</t>
  </si>
  <si>
    <t>Pine works Limited (100%)</t>
  </si>
  <si>
    <t>494.7698 ha</t>
  </si>
  <si>
    <t>Walltech Enterprises Limited (100%)</t>
  </si>
  <si>
    <t>49.4890 ha</t>
  </si>
  <si>
    <t>Sedgwick Resources Limited (100%)</t>
  </si>
  <si>
    <t>Ag, ASB, Au, BIT, Cu, Fe, Ni, Pb, REE, U, Zn</t>
  </si>
  <si>
    <t>83106.8700 ha</t>
  </si>
  <si>
    <t>Kasemba Mining Ltd (100%)</t>
  </si>
  <si>
    <t>439.1009 ha</t>
  </si>
  <si>
    <t>Donalds Investments Limited (100%)</t>
  </si>
  <si>
    <t>303.5897 ha</t>
  </si>
  <si>
    <t>Kilalamilombe Mineral Resources Limited (0%)</t>
  </si>
  <si>
    <t>179.3308 ha</t>
  </si>
  <si>
    <t>Trade Buffalo Candles Zambia Limited (100%)</t>
  </si>
  <si>
    <t>519.4000 ha</t>
  </si>
  <si>
    <t>Ital Terrazzo Limited (100%)</t>
  </si>
  <si>
    <t>1445.4338 ha</t>
  </si>
  <si>
    <t>Malcom Argente (100%)</t>
  </si>
  <si>
    <t>398.0200 ha</t>
  </si>
  <si>
    <t>Serah Mwila (100%)</t>
  </si>
  <si>
    <t>444.3612 ha</t>
  </si>
  <si>
    <t>Irene Chipumbu (100%)</t>
  </si>
  <si>
    <t>334.0825 ha</t>
  </si>
  <si>
    <t>Ngolo construction &amp; mining Ltd (0%)</t>
  </si>
  <si>
    <t>334.0856 ha</t>
  </si>
  <si>
    <t>AC and G Njanji Mining Company Limited (100%)</t>
  </si>
  <si>
    <t>Au, Cu, Zn</t>
  </si>
  <si>
    <t>535.9892 ha</t>
  </si>
  <si>
    <t>BM &amp; K Mining Limited (100%)</t>
  </si>
  <si>
    <t>Co, Cu, Pb, Zn</t>
  </si>
  <si>
    <t>152.0228 ha</t>
  </si>
  <si>
    <t>Yellon International Zambia Limited (100%)</t>
  </si>
  <si>
    <t>344.9651 ha</t>
  </si>
  <si>
    <t>Diallo Enterprises Limited (100%)</t>
  </si>
  <si>
    <t>Ag, Cu, Ni</t>
  </si>
  <si>
    <t>349.7465 ha</t>
  </si>
  <si>
    <t>Jiaxing Mining Zambia Limited (100%)</t>
  </si>
  <si>
    <t>Cu, F</t>
  </si>
  <si>
    <t>29.7418 ha</t>
  </si>
  <si>
    <t>Godfrey Shamanena (100%)</t>
  </si>
  <si>
    <t>479.9100 ha</t>
  </si>
  <si>
    <t>480.0900 ha</t>
  </si>
  <si>
    <t>Kalaba Mine Limited (100%)</t>
  </si>
  <si>
    <t>436.7300 ha</t>
  </si>
  <si>
    <t>Pochy Mining Ltd (100%)</t>
  </si>
  <si>
    <t>431.3590 ha</t>
  </si>
  <si>
    <t>Atlantic Lime Products (Z) Limited (100%)</t>
  </si>
  <si>
    <t>3.9746 ha</t>
  </si>
  <si>
    <t>Prosper Investments Ltd (100%)</t>
  </si>
  <si>
    <t>199.7747 ha</t>
  </si>
  <si>
    <t>49.5207 ha</t>
  </si>
  <si>
    <t>33.0143 ha</t>
  </si>
  <si>
    <t>Jin Ding Mining Limited (100%)</t>
  </si>
  <si>
    <t>478.9635 ha</t>
  </si>
  <si>
    <t>Inga Limited (100%)</t>
  </si>
  <si>
    <t>365.3038 ha</t>
  </si>
  <si>
    <t>Zenjako Trading Limited (100%)</t>
  </si>
  <si>
    <t>399.0270 ha</t>
  </si>
  <si>
    <t>Ag, Co, Cu, Fe</t>
  </si>
  <si>
    <t>517.3833 ha</t>
  </si>
  <si>
    <t>Covenant King Mining Limited</t>
  </si>
  <si>
    <t>475.1163 ha</t>
  </si>
  <si>
    <t>10958.3702 ha</t>
  </si>
  <si>
    <t>Raubex Construction (Z) Ltd (100%)</t>
  </si>
  <si>
    <t>801.5384 ha</t>
  </si>
  <si>
    <t>1150.8995 ha</t>
  </si>
  <si>
    <t>1186.0114 ha</t>
  </si>
  <si>
    <t>AMK Mining Zambia Limited (100%)</t>
  </si>
  <si>
    <t>7288.0400 ha</t>
  </si>
  <si>
    <t>Triple 'S' Ranch Limited (100%)</t>
  </si>
  <si>
    <t>Sn</t>
  </si>
  <si>
    <t>428.1453 ha</t>
  </si>
  <si>
    <t>Kulula Express Limited (100%)</t>
  </si>
  <si>
    <t>30.0021 ha</t>
  </si>
  <si>
    <t>Katoma Copper Mines Limited (100%)</t>
  </si>
  <si>
    <t>418.9585 ha</t>
  </si>
  <si>
    <t>Davies Munsongo (100%)</t>
  </si>
  <si>
    <t>439.2568 ha</t>
  </si>
  <si>
    <t>Rephidim Mining Supplies Limited (100%)</t>
  </si>
  <si>
    <t>257.0340 ha</t>
  </si>
  <si>
    <t>476.8312 ha</t>
  </si>
  <si>
    <t>Bekazulu Mining Limited</t>
  </si>
  <si>
    <t>Au, Cu, Fe</t>
  </si>
  <si>
    <t>395.2779 ha</t>
  </si>
  <si>
    <t>Wilfred Chirwa (100%)</t>
  </si>
  <si>
    <t>COA, Cu</t>
  </si>
  <si>
    <t>398.7581 ha</t>
  </si>
  <si>
    <t>STARGEM INVESTMENTS LIMITED (100%)</t>
  </si>
  <si>
    <t>751.9650 ha</t>
  </si>
  <si>
    <t>Zn</t>
  </si>
  <si>
    <t>3.3141 ha</t>
  </si>
  <si>
    <t>Lungobe Gemstone Mining Co. Limited (100%)</t>
  </si>
  <si>
    <t>AMT, AQM, Au, Cu, DIA, Fe, GAR, Mn, RBY</t>
  </si>
  <si>
    <t>399.7400 ha</t>
  </si>
  <si>
    <t>Cu, Mn, Pb, Zn</t>
  </si>
  <si>
    <t>468.8998 ha</t>
  </si>
  <si>
    <t>Lions Group Quarries Limited (100%)</t>
  </si>
  <si>
    <t>379.2945 ha</t>
  </si>
  <si>
    <t>Au, Cu, Pb</t>
  </si>
  <si>
    <t>469.8444 ha</t>
  </si>
  <si>
    <t>Au, Cu, Pb, Zn</t>
  </si>
  <si>
    <t>264.7429 ha</t>
  </si>
  <si>
    <t>30.0400 ha</t>
  </si>
  <si>
    <t>Mumbwa Cement Ltd (100%)</t>
  </si>
  <si>
    <t>399.4462 ha</t>
  </si>
  <si>
    <t>Industrade Investment Limited (100%)</t>
  </si>
  <si>
    <t>Cu, Mn, Zn</t>
  </si>
  <si>
    <t>79.6471 ha</t>
  </si>
  <si>
    <t>Caltage Enterprises Limited (100%)</t>
  </si>
  <si>
    <t>365.0900 ha</t>
  </si>
  <si>
    <t>Ngolo construction &amp; mining Ltd (100%)</t>
  </si>
  <si>
    <t>648.5599 ha</t>
  </si>
  <si>
    <t>Euro Africa Mining Limited (100%)</t>
  </si>
  <si>
    <t>479.6399 ha</t>
  </si>
  <si>
    <t>431.7878 ha</t>
  </si>
  <si>
    <t>Theresa Ng'oma (100%)</t>
  </si>
  <si>
    <t>149.6407 ha</t>
  </si>
  <si>
    <t>Status Mining &amp; Exploration (100%)</t>
  </si>
  <si>
    <t>COA, Sn, Ta</t>
  </si>
  <si>
    <t>1131.0000 ha</t>
  </si>
  <si>
    <t>Lunga Minerals and Geological Limited (100%)</t>
  </si>
  <si>
    <t>255.6018 ha</t>
  </si>
  <si>
    <t>Au, Cu, Ni</t>
  </si>
  <si>
    <t>1141.0710 ha</t>
  </si>
  <si>
    <t>Mtonga Ospher Kahwema (100%)</t>
  </si>
  <si>
    <t>427.4738 ha</t>
  </si>
  <si>
    <t>Handyman's Paradise Lime Manufacturing Company Limited (100%)</t>
  </si>
  <si>
    <t>390.1100 ha</t>
  </si>
  <si>
    <t>Ag, Au, Co, Cu, Mo, Zn</t>
  </si>
  <si>
    <t>476.2065 ha</t>
  </si>
  <si>
    <t>Sakisa Limited (100%)</t>
  </si>
  <si>
    <t>348.8920 ha</t>
  </si>
  <si>
    <t>Dambo Quarries Zambia Limited (100%)</t>
  </si>
  <si>
    <t>102.3508 ha</t>
  </si>
  <si>
    <t>Sn, Ti</t>
  </si>
  <si>
    <t>156.5900 ha</t>
  </si>
  <si>
    <t>Kasni Investments Limited (100%)</t>
  </si>
  <si>
    <t>740.7574 ha</t>
  </si>
  <si>
    <t>Mukonchi Copper Mining Company Limited (100%)</t>
  </si>
  <si>
    <t>175.7708 ha</t>
  </si>
  <si>
    <t>Quenga Mining Limited (100%)</t>
  </si>
  <si>
    <t>713.7200 ha</t>
  </si>
  <si>
    <t>Betele Small Miners Limited (100%)</t>
  </si>
  <si>
    <t>398.4728 ha</t>
  </si>
  <si>
    <t>Kronos Limited (100%)</t>
  </si>
  <si>
    <t>690.0231 ha</t>
  </si>
  <si>
    <t>D and B Gem-Ores Limited (100%)</t>
  </si>
  <si>
    <t>484.5444 ha</t>
  </si>
  <si>
    <t>Banza Mining Limited (100%)</t>
  </si>
  <si>
    <t>222.9900 ha</t>
  </si>
  <si>
    <t>Yaoxin Mining Zambia Limited (100%)</t>
  </si>
  <si>
    <t>Au, Co, Cu, DIA</t>
  </si>
  <si>
    <t>389.1200 ha</t>
  </si>
  <si>
    <t>Lonestar Mining Limited (100%)</t>
  </si>
  <si>
    <t>3821.0984 ha</t>
  </si>
  <si>
    <t>399.4900 ha</t>
  </si>
  <si>
    <t>399.6200 ha</t>
  </si>
  <si>
    <t>Lumweka Investments Limited (100%)</t>
  </si>
  <si>
    <t>GEM</t>
  </si>
  <si>
    <t>130.1653 ha</t>
  </si>
  <si>
    <t>Ragha R. Shailendra (100%)</t>
  </si>
  <si>
    <t>63.2346 ha</t>
  </si>
  <si>
    <t>Sensele Enterprises Limited (100%)</t>
  </si>
  <si>
    <t>277.0258 ha</t>
  </si>
  <si>
    <t>John Zhaimo (100%)</t>
  </si>
  <si>
    <t>199.7600 ha</t>
  </si>
  <si>
    <t>Zambara Supplies Limited</t>
  </si>
  <si>
    <t>SDG, STN</t>
  </si>
  <si>
    <t>345.5126 ha</t>
  </si>
  <si>
    <t>Unirite Investments Limited (100%)</t>
  </si>
  <si>
    <t>399.3468 ha</t>
  </si>
  <si>
    <t>P.H. Motors (100%)</t>
  </si>
  <si>
    <t>475.5334 ha</t>
  </si>
  <si>
    <t>Avantech Limited (100%)</t>
  </si>
  <si>
    <t>Ag, Co, Cu</t>
  </si>
  <si>
    <t>481.1600 ha</t>
  </si>
  <si>
    <t>Sn, Ta</t>
  </si>
  <si>
    <t>85.8564 ha</t>
  </si>
  <si>
    <t>Agness Chozi Ng'uni (100%)</t>
  </si>
  <si>
    <t>Zr</t>
  </si>
  <si>
    <t>404.5735 ha</t>
  </si>
  <si>
    <t>475.8558 ha</t>
  </si>
  <si>
    <t>353.6868 ha</t>
  </si>
  <si>
    <t>Milbury Mining Limited (100%)</t>
  </si>
  <si>
    <t>399.8284 ha</t>
  </si>
  <si>
    <t>Prudential Mining Limited (100%)</t>
  </si>
  <si>
    <t>396.6796 ha</t>
  </si>
  <si>
    <t>Co, Cu, Fe, Zn</t>
  </si>
  <si>
    <t>389.8393 ha</t>
  </si>
  <si>
    <t>367.3498 ha</t>
  </si>
  <si>
    <t>Zambian High light Mining Investment Limited (100%)</t>
  </si>
  <si>
    <t>Au, Co, Cu, Fe, Ni, U</t>
  </si>
  <si>
    <t>28034.6439 ha</t>
  </si>
  <si>
    <t>Providence Resources Zambia Limited (100%)</t>
  </si>
  <si>
    <t>Ag, Au, Co, Cu, Fe, GEM, LST, U</t>
  </si>
  <si>
    <t>Copper Zone Resources Ltd (0%)</t>
  </si>
  <si>
    <t>Ag, Au, Co, Cu, Fe, GEM1, LST, U</t>
  </si>
  <si>
    <t>49321.6000 ha</t>
  </si>
  <si>
    <t>9725.1247 ha</t>
  </si>
  <si>
    <t>Workman Mining Industries Zambia Limited (100%)</t>
  </si>
  <si>
    <t>400.3500 ha</t>
  </si>
  <si>
    <t>Isaac Mukonde (100%)</t>
  </si>
  <si>
    <t>335.4788 ha</t>
  </si>
  <si>
    <t>Daheng Group Zambia Ltd (100%)</t>
  </si>
  <si>
    <t>327.7973 ha</t>
  </si>
  <si>
    <t>327.8333 ha</t>
  </si>
  <si>
    <t>Hachi Trading Limited (100%)</t>
  </si>
  <si>
    <t>56.9144 ha</t>
  </si>
  <si>
    <t>SDM Investments Limited (100%)</t>
  </si>
  <si>
    <t>44.2715 ha</t>
  </si>
  <si>
    <t>Frekam Enterprises Ltd (100%)</t>
  </si>
  <si>
    <t>328.7800 ha</t>
  </si>
  <si>
    <t>African Deposit Limited (100%)</t>
  </si>
  <si>
    <t>400.1575 ha</t>
  </si>
  <si>
    <t>Leatetia Hamooba (100%)</t>
  </si>
  <si>
    <t>MS</t>
  </si>
  <si>
    <t>6.5748 ha</t>
  </si>
  <si>
    <t>Best Quarry Limited (100%)</t>
  </si>
  <si>
    <t>GRT, MBL, STN1, TLC</t>
  </si>
  <si>
    <t>171.5291 ha</t>
  </si>
  <si>
    <t>Aphek Mining Company limited (100%)</t>
  </si>
  <si>
    <t>Cu, Fe, Mn, Ni</t>
  </si>
  <si>
    <t>398.1800 ha</t>
  </si>
  <si>
    <t>Gunty Enterprises Limited (100%)</t>
  </si>
  <si>
    <t>246.5836 ha</t>
  </si>
  <si>
    <t>Zambian Louking Mining Company Limited (100%)</t>
  </si>
  <si>
    <t>PL</t>
  </si>
  <si>
    <t>10732.5862 ha</t>
  </si>
  <si>
    <t>Mapompo Investements Limited (100%)</t>
  </si>
  <si>
    <t>Ca, DOL, Fe, LST, MIC, TLC</t>
  </si>
  <si>
    <t>75.8149 ha</t>
  </si>
  <si>
    <t>Sakeni Mining Limited (100%)</t>
  </si>
  <si>
    <t>399.7600 ha</t>
  </si>
  <si>
    <t>Luapula Base Metals Limited (100%)</t>
  </si>
  <si>
    <t>383.5641 ha</t>
  </si>
  <si>
    <t>Fe, Mn</t>
  </si>
  <si>
    <t>67.2219 ha</t>
  </si>
  <si>
    <t>Jonah Mining zambia Limited (100%)</t>
  </si>
  <si>
    <t>Au, Co, Cu, Pb</t>
  </si>
  <si>
    <t>20099.5400 ha</t>
  </si>
  <si>
    <t>Co, Cu, Zn</t>
  </si>
  <si>
    <t>420.2534 ha</t>
  </si>
  <si>
    <t>WL5 Logistics Ltd (100%)</t>
  </si>
  <si>
    <t>981.7300 ha</t>
  </si>
  <si>
    <t>Chukwuemeka Limited (100%)</t>
  </si>
  <si>
    <t>161.5383 ha</t>
  </si>
  <si>
    <t>Dalpet Mining Limited (100%)</t>
  </si>
  <si>
    <t>Co, Cu, Mn, Pb, Zn</t>
  </si>
  <si>
    <t>Lizakachi Mining Investments Ltd (100%)</t>
  </si>
  <si>
    <t>903.5500 ha</t>
  </si>
  <si>
    <t>Mumba Mwiinga (100%)</t>
  </si>
  <si>
    <t>39.7100 ha</t>
  </si>
  <si>
    <t>Kunyuan Nonferrous Mining Zambia Limited (80%)</t>
  </si>
  <si>
    <t>Ag, Au, Co, Cu, Mn, Ni, U</t>
  </si>
  <si>
    <t>Agro Tech Zambia Limited (100%)</t>
  </si>
  <si>
    <t>441.9867 ha</t>
  </si>
  <si>
    <t>ZCCM IH Plc (100%)</t>
  </si>
  <si>
    <t>Ag, Au, Cu, Mn</t>
  </si>
  <si>
    <t>32875.6400 ha</t>
  </si>
  <si>
    <t>Chrispin Lubinda (100%)</t>
  </si>
  <si>
    <t>Ag, Au, Cu, Fe, Nb, Pb, Sn, Ta, Ti, V, Zn</t>
  </si>
  <si>
    <t>33258.9800 ha</t>
  </si>
  <si>
    <t>Ackim Simbeye (100%)</t>
  </si>
  <si>
    <t>66.7500 ha</t>
  </si>
  <si>
    <t>Kitson J Ndawa (100%)</t>
  </si>
  <si>
    <t>324.4400 ha</t>
  </si>
  <si>
    <t>Zamming Company Limited (100%)</t>
  </si>
  <si>
    <t>Ag, Au, Co, Cu, Mn, Pb, Zn</t>
  </si>
  <si>
    <t>1773.6300 ha</t>
  </si>
  <si>
    <t>kachindu Small Mines Company ltd (100%)</t>
  </si>
  <si>
    <t>984.8300 ha</t>
  </si>
  <si>
    <t>Intrepid Mines Zambia Limited (100%)</t>
  </si>
  <si>
    <t>As, Au, Co, Cr, Cu, Mo, Nb, Pb, Pt, REE, S, Sb, Se, Sn, Ta, Th, Zn</t>
  </si>
  <si>
    <t>20399.4200 ha</t>
  </si>
  <si>
    <t>Lawrence S.B.Mpeta (100%)</t>
  </si>
  <si>
    <t>672.0733 ha</t>
  </si>
  <si>
    <t>Southern Quarries Ltd (100%)</t>
  </si>
  <si>
    <t>SST</t>
  </si>
  <si>
    <t>39.0917 ha</t>
  </si>
  <si>
    <t>Copper Zone Resources Ltd (100%)</t>
  </si>
  <si>
    <t>Ag, Au, Co, Cu, Fe, U</t>
  </si>
  <si>
    <t>Konkola Copper Mines Plc (100%)</t>
  </si>
  <si>
    <t>19440.7015 ha</t>
  </si>
  <si>
    <t>Musompa Diamond Mining Limited (100%)</t>
  </si>
  <si>
    <t>DIA</t>
  </si>
  <si>
    <t>M &amp; L Mining and General Dealers Limited (100%)</t>
  </si>
  <si>
    <t>473.7700 ha</t>
  </si>
  <si>
    <t>The Firm Consultants and Corporate Services (100%)</t>
  </si>
  <si>
    <t>345.1501 ha</t>
  </si>
  <si>
    <t>PP</t>
  </si>
  <si>
    <t>198.7400 ha</t>
  </si>
  <si>
    <t>China Mining Group Corporation Ltd (100%)</t>
  </si>
  <si>
    <t>Ag, Au, Co, Cu, Pb, Ta, U</t>
  </si>
  <si>
    <t>10594.1777 ha</t>
  </si>
  <si>
    <t>Ag, Au, Co, COA, Cu, Sn, U, Zn</t>
  </si>
  <si>
    <t>4969.2800 ha</t>
  </si>
  <si>
    <t>Daniel Chola Ponde (100%)</t>
  </si>
  <si>
    <t>16.6710 ha</t>
  </si>
  <si>
    <t>Techno chem Agengies Ltd (100%)</t>
  </si>
  <si>
    <t>13451.9119 ha</t>
  </si>
  <si>
    <t>Jenipher Ng'andu Mining &amp; Services Limited (100%)</t>
  </si>
  <si>
    <t>972.8070 ha</t>
  </si>
  <si>
    <t>Luanginga Mining Ltd (100%)</t>
  </si>
  <si>
    <t>3288.2900 ha</t>
  </si>
  <si>
    <t>Ronald Mwange (100%)</t>
  </si>
  <si>
    <t>722.6100 ha</t>
  </si>
  <si>
    <t>11803.7611 ha</t>
  </si>
  <si>
    <t>H and S Mining Limited (100%)</t>
  </si>
  <si>
    <t>6.6537 ha</t>
  </si>
  <si>
    <t>Dolo Zambia Limited (100%)</t>
  </si>
  <si>
    <t>982.2000 ha</t>
  </si>
  <si>
    <t>Phoenix Materials Limited (100%)</t>
  </si>
  <si>
    <t>Cu, LWA</t>
  </si>
  <si>
    <t>183.3400 ha</t>
  </si>
  <si>
    <t>Gold Bay Zambia Limited (100%)</t>
  </si>
  <si>
    <t>10423.4890 ha</t>
  </si>
  <si>
    <t>Au, Co, Cu, Ni, U</t>
  </si>
  <si>
    <t>48345.6463 ha</t>
  </si>
  <si>
    <t>Bate Mining Company Limited (100%)</t>
  </si>
  <si>
    <t>49.8323 ha</t>
  </si>
  <si>
    <t>Mamala Enterprises Limited (100%)</t>
  </si>
  <si>
    <t>361.3200 ha</t>
  </si>
  <si>
    <t>Ofia Investments Limited (100%)</t>
  </si>
  <si>
    <t>Ag, Au, Co, Cu, Fe, Ni, Pb, Sn, U, Zn</t>
  </si>
  <si>
    <t>Ag, Au, Co, Cu, Fe, Pb, Sn, U, Zn</t>
  </si>
  <si>
    <t>44550.9200 ha</t>
  </si>
  <si>
    <t>Joseph Chipili (100%)</t>
  </si>
  <si>
    <t>20.1183 ha</t>
  </si>
  <si>
    <t>Hetro Mining and Ore Dealers (100%)</t>
  </si>
  <si>
    <t>595.9300 ha</t>
  </si>
  <si>
    <t>Christopher Saini (100%)</t>
  </si>
  <si>
    <t>243.0801 ha</t>
  </si>
  <si>
    <t>Osho Ventures Zambia Limited (100%)</t>
  </si>
  <si>
    <t>459.5700 ha</t>
  </si>
  <si>
    <t>Huios Mining and Minerals Explorations Limited (100%)</t>
  </si>
  <si>
    <t>Ag, Au</t>
  </si>
  <si>
    <t>239.9100 ha</t>
  </si>
  <si>
    <t>Garry Mubiana Subulwa (100%)</t>
  </si>
  <si>
    <t>89.3500 ha</t>
  </si>
  <si>
    <t>M &amp; N Industrial Merchants Ltd (100%)</t>
  </si>
  <si>
    <t>996.5900 ha</t>
  </si>
  <si>
    <t>Jazzman Chikwakwa (100%)</t>
  </si>
  <si>
    <t>Au, Cu, Fe, Mn</t>
  </si>
  <si>
    <t>343.2178 ha</t>
  </si>
  <si>
    <t>Copper Rockfield Mines Ltd (100%)</t>
  </si>
  <si>
    <t>Au, Co, Cr, Cu, Pb</t>
  </si>
  <si>
    <t>218.3500 ha</t>
  </si>
  <si>
    <t>Au, Co, Cr, Cu, Pb, Zn</t>
  </si>
  <si>
    <t>258.0700 ha</t>
  </si>
  <si>
    <t>294.4000 ha</t>
  </si>
  <si>
    <t>Blue Square Minerals(Zambia) Limited (100%)</t>
  </si>
  <si>
    <t>92884.5350 ha</t>
  </si>
  <si>
    <t>Roads Development Agency (100%)</t>
  </si>
  <si>
    <t>79.0360 ha</t>
  </si>
  <si>
    <t>Henry Lukanga (100%)</t>
  </si>
  <si>
    <t>DOL, Fe, Pb, Zn</t>
  </si>
  <si>
    <t>3.3136 ha</t>
  </si>
  <si>
    <t>Genesis Gold Mining Limited (100%)</t>
  </si>
  <si>
    <t>397.0400 ha</t>
  </si>
  <si>
    <t>Mahogany Mining Limited (100%)</t>
  </si>
  <si>
    <t>393.2700 ha</t>
  </si>
  <si>
    <t>Zamastone Limited (100%)</t>
  </si>
  <si>
    <t>26.3872 ha</t>
  </si>
  <si>
    <t>Lendor and Burton Ltd (100%)</t>
  </si>
  <si>
    <t>759.0400 ha</t>
  </si>
  <si>
    <t>Gillian K Mwaba (100%)</t>
  </si>
  <si>
    <t>Ag, Au, Co, LST, Pb, Zn</t>
  </si>
  <si>
    <t>Royal Sesheke Quarry (100%)</t>
  </si>
  <si>
    <t>STN, STN1</t>
  </si>
  <si>
    <t>52.3200 ha</t>
  </si>
  <si>
    <t>Medalseek Enterprises Limited (100%)</t>
  </si>
  <si>
    <t>Au, Cu, SIL</t>
  </si>
  <si>
    <t>1.8370 ha</t>
  </si>
  <si>
    <t>Jack Joseph Stuart (100%)</t>
  </si>
  <si>
    <t>16.6440 ha</t>
  </si>
  <si>
    <t>Mosaic Mineral Limited (100%)</t>
  </si>
  <si>
    <t>13.3300 ha</t>
  </si>
  <si>
    <t>Solomon Anos Tembo (100%)</t>
  </si>
  <si>
    <t>39.9500 ha</t>
  </si>
  <si>
    <t>Kaloko Mining Limited (100%)</t>
  </si>
  <si>
    <t>408.1400 ha</t>
  </si>
  <si>
    <t>148.4300 ha</t>
  </si>
  <si>
    <t>408.1300 ha</t>
  </si>
  <si>
    <t>408.2000 ha</t>
  </si>
  <si>
    <t>519.7600 ha</t>
  </si>
  <si>
    <t>354.1900 ha</t>
  </si>
  <si>
    <t>Charles Akufuna Wamulwange (100%)</t>
  </si>
  <si>
    <t>80.0200 ha</t>
  </si>
  <si>
    <t>Suhails International Limited (100%)</t>
  </si>
  <si>
    <t>891.8600 ha</t>
  </si>
  <si>
    <t>Sino West Mining Company (100%)</t>
  </si>
  <si>
    <t>12693.3829 ha</t>
  </si>
  <si>
    <t>Masovi General Dealers (100%)</t>
  </si>
  <si>
    <t>QTZ, SIL</t>
  </si>
  <si>
    <t>200.2609 ha</t>
  </si>
  <si>
    <t>Benjamin Ndumba (100%)</t>
  </si>
  <si>
    <t>Success Resources Limited (100%)</t>
  </si>
  <si>
    <t>397.6400 ha</t>
  </si>
  <si>
    <t>G &amp; L Link Limited (100%)</t>
  </si>
  <si>
    <t>404.8200 ha</t>
  </si>
  <si>
    <t>Bristdan Mining Limited (100%)</t>
  </si>
  <si>
    <t>991.0800 ha</t>
  </si>
  <si>
    <t>Pelwa General Dealers Limited (100%)</t>
  </si>
  <si>
    <t>Co, Cu, Fe, Mn</t>
  </si>
  <si>
    <t>783.7600 ha</t>
  </si>
  <si>
    <t>Mutimbi Real Estates Limited (100%)</t>
  </si>
  <si>
    <t>300.2900 ha</t>
  </si>
  <si>
    <t>Zambia-Zhengyuan Mining Limited (100%)</t>
  </si>
  <si>
    <t>Au, Co, Cu, Fe, Ni, Zn</t>
  </si>
  <si>
    <t>8865.4083 ha</t>
  </si>
  <si>
    <t>Mulopwe Company Limited (100%)</t>
  </si>
  <si>
    <t>Cu, Fe, Ti</t>
  </si>
  <si>
    <t>26.8148 ha</t>
  </si>
  <si>
    <t>Mwombezhi Resources Limited (100%)</t>
  </si>
  <si>
    <t>Ag, Au, Co, Cu, Fe, Mn, Ni</t>
  </si>
  <si>
    <t>56928.9393 ha</t>
  </si>
  <si>
    <t>David Chikopa (100%)</t>
  </si>
  <si>
    <t>39.6300 ha</t>
  </si>
  <si>
    <t>Earthlane Zambia Limited (100%)</t>
  </si>
  <si>
    <t>DOL, LST, STN1</t>
  </si>
  <si>
    <t>23.0700 ha</t>
  </si>
  <si>
    <t>JPS Mining Limited (100%)</t>
  </si>
  <si>
    <t>87.1900 ha</t>
  </si>
  <si>
    <t>Nyakye Enterprises (100%)</t>
  </si>
  <si>
    <t>257.5000 ha</t>
  </si>
  <si>
    <t>Tunta Mining Limited (100%)</t>
  </si>
  <si>
    <t>Co, Cu, DIA</t>
  </si>
  <si>
    <t>110.5000 ha</t>
  </si>
  <si>
    <t>Chisaankane Talc Mine (100%)</t>
  </si>
  <si>
    <t>514.1700 ha</t>
  </si>
  <si>
    <t>84.7847 ha</t>
  </si>
  <si>
    <t>Kavuluvulu Resources Limited (100%)</t>
  </si>
  <si>
    <t>DOL, GRT, LAT, LST, SDG</t>
  </si>
  <si>
    <t>263.4700 ha</t>
  </si>
  <si>
    <t>Elizabeth Zulu (100%)</t>
  </si>
  <si>
    <t>Au, Co, Cu, DIA, Fe, Mn, Ni, Zn</t>
  </si>
  <si>
    <t>4204.9400 ha</t>
  </si>
  <si>
    <t>266.7600 ha</t>
  </si>
  <si>
    <t>40.0100 ha</t>
  </si>
  <si>
    <t>36.6800 ha</t>
  </si>
  <si>
    <t>Afro Dynamics Limited (100%)</t>
  </si>
  <si>
    <t>86.6900 ha</t>
  </si>
  <si>
    <t>Frank Mulenga Chimpusa (100%)</t>
  </si>
  <si>
    <t>Au, Cu, LST, Zn</t>
  </si>
  <si>
    <t>367.1000 ha</t>
  </si>
  <si>
    <t>Mercury Lines Limited (100%)</t>
  </si>
  <si>
    <t>39.5333 ha</t>
  </si>
  <si>
    <t>RAMCON Mining Limited (100%)</t>
  </si>
  <si>
    <t>GRT, LAT, STN1</t>
  </si>
  <si>
    <t>13.2600 ha</t>
  </si>
  <si>
    <t>Akumone Enterprises (100%)</t>
  </si>
  <si>
    <t>53.3400 ha</t>
  </si>
  <si>
    <t>GRT, LAT, LST, SAM</t>
  </si>
  <si>
    <t>545.0800 ha</t>
  </si>
  <si>
    <t>GTD Mining Ltd (100%)</t>
  </si>
  <si>
    <t>Au, Co, Cu, DIA, Mn, Zn</t>
  </si>
  <si>
    <t>23.3000 ha</t>
  </si>
  <si>
    <t>Kanachi Contractors Limited (100%)</t>
  </si>
  <si>
    <t>299.2100 ha</t>
  </si>
  <si>
    <t>Wina Wina (100%)</t>
  </si>
  <si>
    <t>Cu, GRT</t>
  </si>
  <si>
    <t>499.3300 ha</t>
  </si>
  <si>
    <t>P</t>
  </si>
  <si>
    <t>612.2000 ha</t>
  </si>
  <si>
    <t>Mashata Chisola (100%)</t>
  </si>
  <si>
    <t>482.8400 ha</t>
  </si>
  <si>
    <t>Au, Co, Cu, Mn, Pb, Zn</t>
  </si>
  <si>
    <t>565.2600 ha</t>
  </si>
  <si>
    <t>Gempride Mining Limited (100%)</t>
  </si>
  <si>
    <t>365.3300 ha</t>
  </si>
  <si>
    <t>Eddah R Kanukula (100%)</t>
  </si>
  <si>
    <t>6.6300 ha</t>
  </si>
  <si>
    <t>Mandelo Chipwalu (100%)</t>
  </si>
  <si>
    <t>Ag, Au, Co, Cu, Fe, LST, Mn, Pb, SIL, Zn</t>
  </si>
  <si>
    <t>56.2200 ha</t>
  </si>
  <si>
    <t>Ag, Co, Cu, Fe, Mn, Zn</t>
  </si>
  <si>
    <t>23170.6039 ha</t>
  </si>
  <si>
    <t>Natural Premier Products Ltd (100%)</t>
  </si>
  <si>
    <t>376.0300 ha</t>
  </si>
  <si>
    <t>Ameys Property Developers Limited (100%)</t>
  </si>
  <si>
    <t>85.7500 ha</t>
  </si>
  <si>
    <t>616.4300 ha</t>
  </si>
  <si>
    <t>Wabitala Sand Mining (100%)</t>
  </si>
  <si>
    <t>LST, SDG</t>
  </si>
  <si>
    <t>6.6842 ha</t>
  </si>
  <si>
    <t>Axion Consultancy (Africa) Limited (100%)</t>
  </si>
  <si>
    <t>216.5627 ha</t>
  </si>
  <si>
    <t>Emmanuel Tembo (100%)</t>
  </si>
  <si>
    <t>Ag, Co, Cu, Fe, Zn</t>
  </si>
  <si>
    <t>477.9900 ha</t>
  </si>
  <si>
    <t>Zone Mining Ltd (100%)</t>
  </si>
  <si>
    <t>592.1200 ha</t>
  </si>
  <si>
    <t>Kasamwa Mines Ltd (100%)</t>
  </si>
  <si>
    <t>148.1500 ha</t>
  </si>
  <si>
    <t>Schamin Investments Limited (100%)</t>
  </si>
  <si>
    <t>399.0100 ha</t>
  </si>
  <si>
    <t>6.6687 ha</t>
  </si>
  <si>
    <t>Mogoswa Limestone Ltd (100%)</t>
  </si>
  <si>
    <t>Infinity Minerals and Resources ltd (100%)</t>
  </si>
  <si>
    <t>43248.7117 ha</t>
  </si>
  <si>
    <t>Rabya Machining Ltd (100%)</t>
  </si>
  <si>
    <t>SIL, SST</t>
  </si>
  <si>
    <t>253.7500 ha</t>
  </si>
  <si>
    <t>Skinny Kaira Consultancy Ltd (100%)</t>
  </si>
  <si>
    <t>326.4900 ha</t>
  </si>
  <si>
    <t>Bakwalufu Enterprises Ltd (100%)</t>
  </si>
  <si>
    <t>438.6500 ha</t>
  </si>
  <si>
    <t>171.4000 ha</t>
  </si>
  <si>
    <t>10403.4832 ha</t>
  </si>
  <si>
    <t>66.7100 ha</t>
  </si>
  <si>
    <t>53.3600 ha</t>
  </si>
  <si>
    <t>13.3200 ha</t>
  </si>
  <si>
    <t>Mulunda Investment Limited (100%)</t>
  </si>
  <si>
    <t>Ag, As, Au, CC, Cd, Co, Cr, Cu, Fe, Ge, Mo, Nb, Ni, Pb, Pt, REE, S, Sb, Se, Sn, Ta, Th, U, V, Zn</t>
  </si>
  <si>
    <t>995.8100 ha</t>
  </si>
  <si>
    <t>Lassc Corporation Ltd (100%)</t>
  </si>
  <si>
    <t>16.5000 ha</t>
  </si>
  <si>
    <t>Epiphania Kaundula (100%)</t>
  </si>
  <si>
    <t>Fe, LST</t>
  </si>
  <si>
    <t>952.0400 ha</t>
  </si>
  <si>
    <t>Vikram Investments Limited (100%)</t>
  </si>
  <si>
    <t>66.6800 ha</t>
  </si>
  <si>
    <t>E &amp; S Ventures Limited (100%)</t>
  </si>
  <si>
    <t>Ag, Au, Bi, Co, Cu, Mn, Mo, Ni, Pb, Sn, Ta, U, Zn</t>
  </si>
  <si>
    <t>2130.9200 ha</t>
  </si>
  <si>
    <t>Sakeji Mining Limited (100%)</t>
  </si>
  <si>
    <t>Be3Al2(SiO3)6, Co, Cu, Mn</t>
  </si>
  <si>
    <t>365.4000 ha</t>
  </si>
  <si>
    <t>Austin C Chewe (100%)</t>
  </si>
  <si>
    <t>DOL, LST</t>
  </si>
  <si>
    <t>771.6115 ha</t>
  </si>
  <si>
    <t>Grassroots Copper Limited (100%)</t>
  </si>
  <si>
    <t>Ag, Au, Co, Cu, Mo, Ni, Pb, Pt, U, Zn</t>
  </si>
  <si>
    <t>42647.6202 ha</t>
  </si>
  <si>
    <t>Kwik-Spin Investments Limited (100%)</t>
  </si>
  <si>
    <t>958.8900 ha</t>
  </si>
  <si>
    <t>Zambian International Trade and Investment Centre Limited (100%)</t>
  </si>
  <si>
    <t>Ag, Au, Cu, Mn, Pb, Zn</t>
  </si>
  <si>
    <t>Eyethu Sonke Building Contractors and General Dealers Limited (100%)</t>
  </si>
  <si>
    <t>900.0700 ha</t>
  </si>
  <si>
    <t>Ag, Au, Cu, Fe, Ni, Pb, S, U, Zn</t>
  </si>
  <si>
    <t>10205.4800 ha</t>
  </si>
  <si>
    <t>Shadreck Abundu (100%)</t>
  </si>
  <si>
    <t>Cu, Fe, Mn, QTZ</t>
  </si>
  <si>
    <t>99.9000 ha</t>
  </si>
  <si>
    <t>Ag, Au, Co, Cu, Ni, Pb, Pt, U, Zn</t>
  </si>
  <si>
    <t>40509.4753 ha</t>
  </si>
  <si>
    <t>Ag, Co, Cu, Mo, Ni, Pb, Pd, Pt, U</t>
  </si>
  <si>
    <t>33010.4118 ha</t>
  </si>
  <si>
    <t>Entrust Investments Limited (100%)</t>
  </si>
  <si>
    <t>106.6900 ha</t>
  </si>
  <si>
    <t>P.Simpemba and Company Ltd (100%)</t>
  </si>
  <si>
    <t>Cu, Fe, Pb, Zn</t>
  </si>
  <si>
    <t>481.7700 ha</t>
  </si>
  <si>
    <t>558.7900 ha</t>
  </si>
  <si>
    <t>Fishil Farms Company Limited (100%)</t>
  </si>
  <si>
    <t>Ag, Au, Cu, Fe, Mn, U</t>
  </si>
  <si>
    <t>995.9400 ha</t>
  </si>
  <si>
    <t>Supremacy Investements Ltd (100%)</t>
  </si>
  <si>
    <t>Ag, Au, Cu, Fe, Ni, S, U, Zn</t>
  </si>
  <si>
    <t>Matka Technical Services Limited (100%)</t>
  </si>
  <si>
    <t>19.7910 ha</t>
  </si>
  <si>
    <t>Kyulu Development Trust (100%)</t>
  </si>
  <si>
    <t>835.1100 ha</t>
  </si>
  <si>
    <t>Uniturtle Industries Zambia Limited (100%)</t>
  </si>
  <si>
    <t>247.4100 ha</t>
  </si>
  <si>
    <t>LAMSA Energy Limited (100%)</t>
  </si>
  <si>
    <t>Au, Nb, P, REE, Sn</t>
  </si>
  <si>
    <t>143.3100 ha</t>
  </si>
  <si>
    <t>Lekago Mining Limited (100%)</t>
  </si>
  <si>
    <t>502.5800 ha</t>
  </si>
  <si>
    <t>Kelvin Kaumba (100%)</t>
  </si>
  <si>
    <t>187.3800 ha</t>
  </si>
  <si>
    <t>Esther Mwila Musonda (100%)</t>
  </si>
  <si>
    <t>26.5100 ha</t>
  </si>
  <si>
    <t>388.8300 ha</t>
  </si>
  <si>
    <t>388.8000 ha</t>
  </si>
  <si>
    <t>444.3100 ha</t>
  </si>
  <si>
    <t>Ascent Stone Industry Ltd (100%)</t>
  </si>
  <si>
    <t>98.9800 ha</t>
  </si>
  <si>
    <t>Sandy Kamzimbi (100%)</t>
  </si>
  <si>
    <t>6.7222 ha</t>
  </si>
  <si>
    <t>Richard Banda (100%)</t>
  </si>
  <si>
    <t>Au, Co, Cu, U, Zn</t>
  </si>
  <si>
    <t>950.1500 ha</t>
  </si>
  <si>
    <t>986.3900 ha</t>
  </si>
  <si>
    <t>Kambwili Mine Ltd (100%)</t>
  </si>
  <si>
    <t>437.7964 ha</t>
  </si>
  <si>
    <t>Waterbuck Resources Ltd (100%)</t>
  </si>
  <si>
    <t>Ag, Au, Co, COA, Cu, Fe, Mn, Mo, Ni, Pb, Sc, Th, U, V, Yt, Zn, Zr</t>
  </si>
  <si>
    <t>23699.4819 ha</t>
  </si>
  <si>
    <t>James Mumbi Mulenga (100%)</t>
  </si>
  <si>
    <t>Ag, Co, Cu, LST, Zn</t>
  </si>
  <si>
    <t>568.4391 ha</t>
  </si>
  <si>
    <t>999.7193 ha</t>
  </si>
  <si>
    <t>Tangeray Resources Zambia Ltd (100%)</t>
  </si>
  <si>
    <t>23933.7964 ha</t>
  </si>
  <si>
    <t>Mbolowa Lindunda (100%)</t>
  </si>
  <si>
    <t>6.7200 ha</t>
  </si>
  <si>
    <t>Ald Plant and Fleet Management Ltd (100%)</t>
  </si>
  <si>
    <t>32.9300 ha</t>
  </si>
  <si>
    <t>Eyethu Sonke Mining Limited (100%)</t>
  </si>
  <si>
    <t>Ag, Co, Cu, Fe, Mn, Pb, U</t>
  </si>
  <si>
    <t>451.2500 ha</t>
  </si>
  <si>
    <t>180.3700 ha</t>
  </si>
  <si>
    <t>935.3900 ha</t>
  </si>
  <si>
    <t>236.9800 ha</t>
  </si>
  <si>
    <t>Serenje Manganese (Z) Ltd (100%)</t>
  </si>
  <si>
    <t>Au, Fe, Mn, Ni, Pb</t>
  </si>
  <si>
    <t>4953.8993 ha</t>
  </si>
  <si>
    <t>Ba, CLY1, GYP</t>
  </si>
  <si>
    <t>948.8600 ha</t>
  </si>
  <si>
    <t>Pambe Mining Co. Ltd (100%)</t>
  </si>
  <si>
    <t>218.5256 ha</t>
  </si>
  <si>
    <t>282.3900 ha</t>
  </si>
  <si>
    <t>Au, Co, Cu, Fe, Mo, Ni, PGM, U</t>
  </si>
  <si>
    <t>25089.9647 ha</t>
  </si>
  <si>
    <t>M&amp;L Mining and general Dealers Limited (100%)</t>
  </si>
  <si>
    <t>277.9900 ha</t>
  </si>
  <si>
    <t>48805.2400 ha</t>
  </si>
  <si>
    <t>Nuru Investments Limited (100%)</t>
  </si>
  <si>
    <t>REE, Sn, Ta</t>
  </si>
  <si>
    <t>466.4700 ha</t>
  </si>
  <si>
    <t>Zambia-Zhengyuan Mining Co. Ltd (100%)</t>
  </si>
  <si>
    <t>36079.0110 ha</t>
  </si>
  <si>
    <t>Chilustone Investments Limited</t>
  </si>
  <si>
    <t>403.8076 ha</t>
  </si>
  <si>
    <t>GTJ Mining Limited (100%)</t>
  </si>
  <si>
    <t>749.0000 ha</t>
  </si>
  <si>
    <t>Co, Cu, Mn</t>
  </si>
  <si>
    <t>610.9300 ha</t>
  </si>
  <si>
    <t>Talang Mining Co. Limited (100%)</t>
  </si>
  <si>
    <t>Co, Cu, Fe, GRF, Mn, SIL</t>
  </si>
  <si>
    <t>970.7200 ha</t>
  </si>
  <si>
    <t>Stork-LL Resources Limited (100%)</t>
  </si>
  <si>
    <t>4610.0100 ha</t>
  </si>
  <si>
    <t>Jaeson kaunda (100%)</t>
  </si>
  <si>
    <t>181.3500 ha</t>
  </si>
  <si>
    <t>Base Metal Resources Limited (100%)</t>
  </si>
  <si>
    <t>Ag, Au, Co, Cu, DIA, DOL, LST, Mn</t>
  </si>
  <si>
    <t>654.5200 ha</t>
  </si>
  <si>
    <t>948.4600 ha</t>
  </si>
  <si>
    <t>Au, Co, Cu, Fe, Mn, Pb</t>
  </si>
  <si>
    <t>238.5300 ha</t>
  </si>
  <si>
    <t>Silchil Construction Solutions Ltd (100%)</t>
  </si>
  <si>
    <t>260.7100 ha</t>
  </si>
  <si>
    <t>Manseba Mine Ltd (100%)</t>
  </si>
  <si>
    <t>436.7800 ha</t>
  </si>
  <si>
    <t>Precision Mining (Z) Ltd (100%)</t>
  </si>
  <si>
    <t>369.7400 ha</t>
  </si>
  <si>
    <t>Chubri Heavy Plant Haulage Ltd (100%)</t>
  </si>
  <si>
    <t>297.0900 ha</t>
  </si>
  <si>
    <t>Sanga Mumbwa Limited (100%)</t>
  </si>
  <si>
    <t>Au, Co, Cu, Fe, Mn, REE, Zn</t>
  </si>
  <si>
    <t>7252.3870 ha</t>
  </si>
  <si>
    <t>338.8300 ha</t>
  </si>
  <si>
    <t>Lewin Makafu Salimu (100%)</t>
  </si>
  <si>
    <t>3.3400 ha</t>
  </si>
  <si>
    <t>Harry Findlay (100%)</t>
  </si>
  <si>
    <t>131.8900 ha</t>
  </si>
  <si>
    <t>Henfri Company Ltd (100%)</t>
  </si>
  <si>
    <t>56.6610 ha</t>
  </si>
  <si>
    <t>Ag, Au, Co, Cu, REE, U</t>
  </si>
  <si>
    <t>15572.8737 ha</t>
  </si>
  <si>
    <t>39.8100 ha</t>
  </si>
  <si>
    <t>Lunga Minerals and Exploration Company Limited (100%)</t>
  </si>
  <si>
    <t>Ag, Au, Co, Cu, Pb, Pt, U, Zn</t>
  </si>
  <si>
    <t>735.7100 ha</t>
  </si>
  <si>
    <t>Nkundalila Small Scale Mines Ltd (100%)</t>
  </si>
  <si>
    <t>977.0200 ha</t>
  </si>
  <si>
    <t>Mukumbi Resources Ltd (100%)</t>
  </si>
  <si>
    <t>361.1600 ha</t>
  </si>
  <si>
    <t>LMW Investments Ltd (100%)</t>
  </si>
  <si>
    <t>209.9700 ha</t>
  </si>
  <si>
    <t>Goodwin Tantula (100%)</t>
  </si>
  <si>
    <t>192.5700 ha</t>
  </si>
  <si>
    <t>Bengemor Mining Limited (100%)</t>
  </si>
  <si>
    <t>964.5200 ha</t>
  </si>
  <si>
    <t>964.5500 ha</t>
  </si>
  <si>
    <t>Unk</t>
  </si>
  <si>
    <t>Gemini Mining Limited (100%)</t>
  </si>
  <si>
    <t>401.8000 ha</t>
  </si>
  <si>
    <t>Dalobelt Zambia Limited (100%)</t>
  </si>
  <si>
    <t>Au, Co, Cu, Pb, Zn</t>
  </si>
  <si>
    <t>559.1336 ha</t>
  </si>
  <si>
    <t>559.0678 ha</t>
  </si>
  <si>
    <t>967.4500 ha</t>
  </si>
  <si>
    <t>964.3200 ha</t>
  </si>
  <si>
    <t>964.4000 ha</t>
  </si>
  <si>
    <t>Ag, Au, Co, Cu, Fe, Mo, Ni, Pb, U, Zn</t>
  </si>
  <si>
    <t>11839.2300 ha</t>
  </si>
  <si>
    <t>Alfred Zulu (100%)</t>
  </si>
  <si>
    <t>Au, Co, Cu, MS, Ni, U</t>
  </si>
  <si>
    <t>26.7500 ha</t>
  </si>
  <si>
    <t>26.7300 ha</t>
  </si>
  <si>
    <t>Powerflex Zambia Limited (100%)</t>
  </si>
  <si>
    <t>300.7300 ha</t>
  </si>
  <si>
    <t>Edward Tembo (100%)</t>
  </si>
  <si>
    <t>748.9900 ha</t>
  </si>
  <si>
    <t>Albertina Mwansa Kashiba (100%)</t>
  </si>
  <si>
    <t>Tuibombele Corporation Ltd (100%)</t>
  </si>
  <si>
    <t>4450.8181 ha</t>
  </si>
  <si>
    <t>Mukamandu Mining Ltd (100%)</t>
  </si>
  <si>
    <t>180.0200 ha</t>
  </si>
  <si>
    <t>Kifubwa Mineral Resources Ltd (100%)</t>
  </si>
  <si>
    <t>975.4100 ha</t>
  </si>
  <si>
    <t>760.7000 ha</t>
  </si>
  <si>
    <t>Kisopeka Investments Ltd (100%)</t>
  </si>
  <si>
    <t>414.3900 ha</t>
  </si>
  <si>
    <t>113.6300 ha</t>
  </si>
  <si>
    <t>Samstone Crushing Limited (100%)</t>
  </si>
  <si>
    <t>Au, Co, Cu, Fe, LST, Pb, U</t>
  </si>
  <si>
    <t>746.7900 ha</t>
  </si>
  <si>
    <t>Co, Cu, LST, Pb, U, Zn</t>
  </si>
  <si>
    <t>903.2700 ha</t>
  </si>
  <si>
    <t>Yacheshe Investments Ltd (100%)</t>
  </si>
  <si>
    <t>358.5600 ha</t>
  </si>
  <si>
    <t>Scoretech Holdings Zambia Ltd (100%)</t>
  </si>
  <si>
    <t>39.7025 ha</t>
  </si>
  <si>
    <t>Lukonde Makungu (100%)</t>
  </si>
  <si>
    <t>Cu, Fe, SIL</t>
  </si>
  <si>
    <t>413.2400 ha</t>
  </si>
  <si>
    <t>Frank B Simbeye (100%)</t>
  </si>
  <si>
    <t>107.6400 ha</t>
  </si>
  <si>
    <t>Zamstone Quarries Ltd (100%)</t>
  </si>
  <si>
    <t>835.9900 ha</t>
  </si>
  <si>
    <t>Grahum Mining and Construction Limited (100%)</t>
  </si>
  <si>
    <t>268.9200 ha</t>
  </si>
  <si>
    <t>Ludwig Sanday Sondashi (100%)</t>
  </si>
  <si>
    <t>Ag, Au, Co, Cu, GRT, LST, Ni, Pb, U, Zn</t>
  </si>
  <si>
    <t>347.2400 ha</t>
  </si>
  <si>
    <t>Ag, Au, Co, COA, Cu, GRT, LST, Ni, Pb, U, Zn</t>
  </si>
  <si>
    <t>981.6700 ha</t>
  </si>
  <si>
    <t>140.2400 ha</t>
  </si>
  <si>
    <t>Impili materilas Ltd (100%)</t>
  </si>
  <si>
    <t>240.7600 ha</t>
  </si>
  <si>
    <t>695.3900 ha</t>
  </si>
  <si>
    <t>Katai Emmanuel Kachasa (100%)</t>
  </si>
  <si>
    <t>CLY, LST</t>
  </si>
  <si>
    <t>773.0200 ha</t>
  </si>
  <si>
    <t>RoadFleet Logistics Ltd (100%)</t>
  </si>
  <si>
    <t>395.9800 ha</t>
  </si>
  <si>
    <t>Enock Kaywla Mundia (100%)</t>
  </si>
  <si>
    <t>161.4200 ha</t>
  </si>
  <si>
    <t>Zambian North Mining Corporation Limited (100%)</t>
  </si>
  <si>
    <t>BASALT QUARRIES LTD (100%)</t>
  </si>
  <si>
    <t>Cu, GRT, LST</t>
  </si>
  <si>
    <t>992.1000 ha</t>
  </si>
  <si>
    <t>Mwala Crushing Ltd (100%)</t>
  </si>
  <si>
    <t>CLY, CLY3, DOL, GRT, LAT, LST, SDG</t>
  </si>
  <si>
    <t>139.0614 ha</t>
  </si>
  <si>
    <t>Kozotech Minerals &amp; Metals Ltd (100%)</t>
  </si>
  <si>
    <t>Co, Cu, Fe, Mn, Zn</t>
  </si>
  <si>
    <t>295.5660 ha</t>
  </si>
  <si>
    <t>Spectra Mining Ventures Limited (100%)</t>
  </si>
  <si>
    <t>CLY, DIT</t>
  </si>
  <si>
    <t>961.8600 ha</t>
  </si>
  <si>
    <t>16.2887 ha</t>
  </si>
  <si>
    <t>Cemline Limited</t>
  </si>
  <si>
    <t>Ag, Au, Co, Cu, LST, Pb</t>
  </si>
  <si>
    <t>10149.4722 ha</t>
  </si>
  <si>
    <t>China East Mining Corparation (100%)</t>
  </si>
  <si>
    <t>Au, Co, Cu, Mg</t>
  </si>
  <si>
    <t>Point &amp; Line Technology Ltd (100%)</t>
  </si>
  <si>
    <t>29.6800 ha</t>
  </si>
  <si>
    <t>Princica Chabanga (100%)</t>
  </si>
  <si>
    <t>DOL, GRT, LWA</t>
  </si>
  <si>
    <t>360.1900 ha</t>
  </si>
  <si>
    <t>Zambian Artisan Mining Empowerment Ltd (100%)</t>
  </si>
  <si>
    <t>Ag, Au, Cu, Fe, Mg, Mn</t>
  </si>
  <si>
    <t>239.9400 ha</t>
  </si>
  <si>
    <t>788.5000 ha</t>
  </si>
  <si>
    <t>Nisco Industtries Ltd (100%)</t>
  </si>
  <si>
    <t>326.7500 ha</t>
  </si>
  <si>
    <t>13737.3100 ha</t>
  </si>
  <si>
    <t>Frallen Investment Limited (100%)</t>
  </si>
  <si>
    <t>631.1100 ha</t>
  </si>
  <si>
    <t>Ag, Au, Co, Cu, Fe, Mn, Mo, Ni, Pb, REE, U, Zn</t>
  </si>
  <si>
    <t>Ag, Au, Co, Cu, Fe, Mn, Pb, REE, U, Zn</t>
  </si>
  <si>
    <t>11271.2548 ha</t>
  </si>
  <si>
    <t>Ag, Au, Co, Cu, EM, Fe, Mn, Ni, Pb, REE, U, Zn</t>
  </si>
  <si>
    <t>30479.3527 ha</t>
  </si>
  <si>
    <t>Gewa Investments and Mining Limited (100%)</t>
  </si>
  <si>
    <t>6241.3100 ha</t>
  </si>
  <si>
    <t>GRT, LST, MBL, SDG, SST</t>
  </si>
  <si>
    <t>131.8931 ha</t>
  </si>
  <si>
    <t>Tabita Phiri (100%)</t>
  </si>
  <si>
    <t>Ag, Au, Co, Cu, Mn, Pb, QTZ, Sn, TLC</t>
  </si>
  <si>
    <t>329.5700 ha</t>
  </si>
  <si>
    <t>3.3300 ha</t>
  </si>
  <si>
    <t>Jeanipher Chipomo (100%)</t>
  </si>
  <si>
    <t>Au, Cu, Cu2CO3(OH)2, Fe, Mn</t>
  </si>
  <si>
    <t>235.0200 ha</t>
  </si>
  <si>
    <t>Matukuchila Invetsments Ltd (100%)</t>
  </si>
  <si>
    <t>482.4600 ha</t>
  </si>
  <si>
    <t>Zaman Three Minerals Limited (100%)</t>
  </si>
  <si>
    <t>Au, Cu, Fe, Mn, Pb</t>
  </si>
  <si>
    <t>38140.0400 ha</t>
  </si>
  <si>
    <t>MARU Resources Limited (100%)</t>
  </si>
  <si>
    <t>DOL, LST, STN</t>
  </si>
  <si>
    <t>897.6200 ha</t>
  </si>
  <si>
    <t>DIT, LST, STN</t>
  </si>
  <si>
    <t>980.1900 ha</t>
  </si>
  <si>
    <t>Tinedy Mining Limited (100%)</t>
  </si>
  <si>
    <t>8690.6300 ha</t>
  </si>
  <si>
    <t>Kamisambe Investments and General Dealers (100%)</t>
  </si>
  <si>
    <t>306.1300 ha</t>
  </si>
  <si>
    <t>Kapetamendo Mineral Resources Ltd (100%)</t>
  </si>
  <si>
    <t>23.3515 ha</t>
  </si>
  <si>
    <t>Alice Mambwe Chabuka (100%)</t>
  </si>
  <si>
    <t>GRT, Mn</t>
  </si>
  <si>
    <t>590.2900 ha</t>
  </si>
  <si>
    <t>Ruskins Jere (100%)</t>
  </si>
  <si>
    <t>Cu, Fe, Mn, Ti</t>
  </si>
  <si>
    <t>13.2822 ha</t>
  </si>
  <si>
    <t>327.2300 ha</t>
  </si>
  <si>
    <t>296.8600 ha</t>
  </si>
  <si>
    <t>14940.3500 ha</t>
  </si>
  <si>
    <t>Sianyolo Intergrated Resources Mining Company Ltd (100%)</t>
  </si>
  <si>
    <t>F</t>
  </si>
  <si>
    <t>998.0500 ha</t>
  </si>
  <si>
    <t>Marion Kafunga (100%)</t>
  </si>
  <si>
    <t>611.2300 ha</t>
  </si>
  <si>
    <t>Mbiya Mining and Minerals Development Company Ltd (100%)</t>
  </si>
  <si>
    <t>362.1000 ha</t>
  </si>
  <si>
    <t>MGI Kruz Auto Link Ltd (100%)</t>
  </si>
  <si>
    <t>Au, Cu, Fe, Mn, Sn</t>
  </si>
  <si>
    <t>Colikamu Mining Limited (100%)</t>
  </si>
  <si>
    <t>Co, Cu, Pt</t>
  </si>
  <si>
    <t>269.9700 ha</t>
  </si>
  <si>
    <t>Muchenga Industrial Minerals Limited (100%)</t>
  </si>
  <si>
    <t>LWA, STN1</t>
  </si>
  <si>
    <t>923.9600 ha</t>
  </si>
  <si>
    <t>BUK Truck Parts Limited (100%)</t>
  </si>
  <si>
    <t>395.9900 ha</t>
  </si>
  <si>
    <t>Kabulashinshi Mine Limited (100%)</t>
  </si>
  <si>
    <t>Rajamani Nadar Resources (Z) Ltd (100%)</t>
  </si>
  <si>
    <t>722.8911 ha</t>
  </si>
  <si>
    <t>JS Moyo Farms Limited (100%)</t>
  </si>
  <si>
    <t>298.4159 ha</t>
  </si>
  <si>
    <t>Charizma Enterprises Limited (100%)</t>
  </si>
  <si>
    <t>46.1742 ha</t>
  </si>
  <si>
    <t>49559.5000 ha</t>
  </si>
  <si>
    <t>179.9000 ha</t>
  </si>
  <si>
    <t>586.3700 ha</t>
  </si>
  <si>
    <t>4469.1869 ha</t>
  </si>
  <si>
    <t>92410.3300 ha</t>
  </si>
  <si>
    <t>MULENGA ANGELA CHITALU (100%)</t>
  </si>
  <si>
    <t>CLY1, GYP, LST</t>
  </si>
  <si>
    <t>6.6819 ha</t>
  </si>
  <si>
    <t>K.P.R Investments LImited (100%)</t>
  </si>
  <si>
    <t>Kroup Mining and Processing Limited (100%)</t>
  </si>
  <si>
    <t>594.1500 ha</t>
  </si>
  <si>
    <t>Ag, Au, Bi, Co, Cu, Mn, Mo, Ni, Pb, Sn, Ta, Zn</t>
  </si>
  <si>
    <t>980.9100 ha</t>
  </si>
  <si>
    <t>Musiba Mining Limited (100%)</t>
  </si>
  <si>
    <t>326.7200 ha</t>
  </si>
  <si>
    <t>Christopher Sondoyi (100%)</t>
  </si>
  <si>
    <t>6.6851 ha</t>
  </si>
  <si>
    <t>77.1924 ha</t>
  </si>
  <si>
    <t>Greyvic Mining Limited (100%)</t>
  </si>
  <si>
    <t>199.2420 ha</t>
  </si>
  <si>
    <t>162.5208 ha</t>
  </si>
  <si>
    <t>Ag, Al, Au, Cu, Fe, Mn, Pt, Sn, Ta, Zn</t>
  </si>
  <si>
    <t>998.3700 ha</t>
  </si>
  <si>
    <t>Pangeni Mineral Resources Limited (100%)</t>
  </si>
  <si>
    <t>57568.2400 ha</t>
  </si>
  <si>
    <t>8805.8205 ha</t>
  </si>
  <si>
    <t>Kunyuan Nonferrous Mining Zambia Limited (100%)</t>
  </si>
  <si>
    <t>VIDAYU Holdings Corperation Zambia Limited (100%)</t>
  </si>
  <si>
    <t>Lucia Mupeta (100%)</t>
  </si>
  <si>
    <t>6.6100 ha</t>
  </si>
  <si>
    <t>P &amp; C PRACH INVESTMENTS ZAMBIA LIMITED (100%)</t>
  </si>
  <si>
    <t>17698.5800 ha</t>
  </si>
  <si>
    <t>Ag, Au, Co, Cu, Fe, Ni</t>
  </si>
  <si>
    <t>Au, Cu, LST</t>
  </si>
  <si>
    <t>17990.3100 ha</t>
  </si>
  <si>
    <t>Sacko Mining Limited (100%)</t>
  </si>
  <si>
    <t>7370.9300 ha</t>
  </si>
  <si>
    <t>Dorothy Kaonga (100%)</t>
  </si>
  <si>
    <t>Au, GRF</t>
  </si>
  <si>
    <t>6.7298 ha</t>
  </si>
  <si>
    <t>Au, Co, Cu, DIA, Ni</t>
  </si>
  <si>
    <t>90474.0420 ha</t>
  </si>
  <si>
    <t>Au, Cu, Mn, Ni, Pb, U, Zn</t>
  </si>
  <si>
    <t>5099.1096 ha</t>
  </si>
  <si>
    <t>Wasaye Mining Limited (100%)</t>
  </si>
  <si>
    <t>15508.0600 ha</t>
  </si>
  <si>
    <t>Zambia Manganese Mining Limited (100%)</t>
  </si>
  <si>
    <t>Au, Cu, Fe, Mn, Pb, Zn</t>
  </si>
  <si>
    <t>46811.5652 ha</t>
  </si>
  <si>
    <t>P &amp; C Prach Investment Zambia Limted (100%)</t>
  </si>
  <si>
    <t>Co, Cu, Sn, Ta</t>
  </si>
  <si>
    <t>Twiga Mining Limited (100%)</t>
  </si>
  <si>
    <t>2622.7110 ha</t>
  </si>
  <si>
    <t>Joseph Musonda (100%)</t>
  </si>
  <si>
    <t>Ag, Au, Fe, LST, MGS, Mn, U</t>
  </si>
  <si>
    <t>56334.2000 ha</t>
  </si>
  <si>
    <t>Au, COA, Fe, Pt</t>
  </si>
  <si>
    <t>1423.7500 ha</t>
  </si>
  <si>
    <t>1517.3355 ha</t>
  </si>
  <si>
    <t>5243.7282 ha</t>
  </si>
  <si>
    <t>Topfat Gold Mining Limited (100%)</t>
  </si>
  <si>
    <t>3580.3295 ha</t>
  </si>
  <si>
    <t>Enviro Processing Limited (100%)</t>
  </si>
  <si>
    <t>Ag, Au, Cu, Fe, Ga, Ge, Mn, Ni, Pb, V, Zn</t>
  </si>
  <si>
    <t>EMCO Holdings Limited (100%)</t>
  </si>
  <si>
    <t>Cousins Mining Zambia Limited (100%)</t>
  </si>
  <si>
    <t>Au, Co, Cu, Fe, Mn, Ni, Pb, Zn</t>
  </si>
  <si>
    <t>1352.1290 ha</t>
  </si>
  <si>
    <t>Ag, Au, Cu, Fe, Ni, REE</t>
  </si>
  <si>
    <t>24680.5773 ha</t>
  </si>
  <si>
    <t>Chemopharm Limited (100%)</t>
  </si>
  <si>
    <t>Au, Co, Cu, Fe, Pb, Sn, U, Zn</t>
  </si>
  <si>
    <t>4540.4505 ha</t>
  </si>
  <si>
    <t>Au, Cu, Fe, Pb, Sn, U, Zn</t>
  </si>
  <si>
    <t>Rockstone Industry Company (100%)</t>
  </si>
  <si>
    <t>LST, MBL, STN, TLC</t>
  </si>
  <si>
    <t>39.5802 ha</t>
  </si>
  <si>
    <t>Joseph Shabaya Moyo (100%)</t>
  </si>
  <si>
    <t>GRT, SAM, STN</t>
  </si>
  <si>
    <t>Ag, Au, Co, Cu, Mn, Ni</t>
  </si>
  <si>
    <t>Chilubi Mineral Prospecting &amp; Mining Co. Ltd (100%)</t>
  </si>
  <si>
    <t>98373.3518 ha</t>
  </si>
  <si>
    <t>Jonah Mining Zambia Ltd (100%)</t>
  </si>
  <si>
    <t>Ag, As, Au, Co, Cu, Fe, Mn, U, Zn</t>
  </si>
  <si>
    <t>43808.9187 ha</t>
  </si>
  <si>
    <t>1667.8944 ha</t>
  </si>
  <si>
    <t>Vale Zambia Limited (100%)</t>
  </si>
  <si>
    <t>Pending Abandonment</t>
  </si>
  <si>
    <t>YESU AHURIRE Enterprises Limited (100%)</t>
  </si>
  <si>
    <t>Elohim Copperfields Limited (100%)</t>
  </si>
  <si>
    <t>Au, Co, Cu, DOL, LST</t>
  </si>
  <si>
    <t>Muchinga Energy Resources Limited (100%)</t>
  </si>
  <si>
    <t>COA, U</t>
  </si>
  <si>
    <t>25111.7356 ha</t>
  </si>
  <si>
    <t>Au, Co, Cu, Fe, Mn, Mo, Ni, Pb, U, Zn</t>
  </si>
  <si>
    <t>409.2340 ha</t>
  </si>
  <si>
    <t>69758.8936 ha</t>
  </si>
  <si>
    <t>Headframe Resources (Z) Ltd (100%)</t>
  </si>
  <si>
    <t>Ag, Au, Co, Cu, Fe, Mn, Ni, REE, U, Zn</t>
  </si>
  <si>
    <t>16420.4169 ha</t>
  </si>
  <si>
    <t>Zawar Natural Resources Ltd (100%)</t>
  </si>
  <si>
    <t>Au, Co, Cu, Mn, Ni, PGM, Ti</t>
  </si>
  <si>
    <t>30231.4059 ha</t>
  </si>
  <si>
    <t>China Non-ferrous Kabwe Mining Company Limited (100%)</t>
  </si>
  <si>
    <t>45571.3979 ha</t>
  </si>
  <si>
    <t>30351.4407 ha</t>
  </si>
  <si>
    <t>Gemstone Marketing and Consultancy Limited (100%)</t>
  </si>
  <si>
    <t>1578.7154 ha</t>
  </si>
  <si>
    <t>Kams Mining and Engineering Ltd (100%)</t>
  </si>
  <si>
    <t>Au, Cu, Mn, Sn</t>
  </si>
  <si>
    <t>84036.1549 ha</t>
  </si>
  <si>
    <t>Chipapa Infrastructure Limited (100%)</t>
  </si>
  <si>
    <t>28834.3628 ha</t>
  </si>
  <si>
    <t>Coster Mwaba (100%)</t>
  </si>
  <si>
    <t>Ag, Au, Co, Cu, Mn, U</t>
  </si>
  <si>
    <t>8792.5466 ha</t>
  </si>
  <si>
    <t>Rajnish Sharma (100%)</t>
  </si>
  <si>
    <t>553.9016 ha</t>
  </si>
  <si>
    <t>678.9821 ha</t>
  </si>
  <si>
    <t>Emmanuel Mulenga (100%)</t>
  </si>
  <si>
    <t>Au, Co, Cu, LST</t>
  </si>
  <si>
    <t>40.0869 ha</t>
  </si>
  <si>
    <t>Omax Mineral and Metals Zambia (100%)</t>
  </si>
  <si>
    <t>2311.4863 ha</t>
  </si>
  <si>
    <t>Cu, DOL, Fe, Mn, Zn</t>
  </si>
  <si>
    <t>98622.7406 ha</t>
  </si>
  <si>
    <t>Mulandu Matoka (100%)</t>
  </si>
  <si>
    <t>6.6846 ha</t>
  </si>
  <si>
    <t>Zamsort Limited (100%)</t>
  </si>
  <si>
    <t>Au, Co, Cu, Ni, U, Zn</t>
  </si>
  <si>
    <t>87600.7332 ha</t>
  </si>
  <si>
    <t>Best Mining Company Limited (100%)</t>
  </si>
  <si>
    <t>Ag, Au, Co, Cu, Ni, U</t>
  </si>
  <si>
    <t>Workman Construction (Z)Limited (100%)</t>
  </si>
  <si>
    <t>MMRP Mining Company Limited (100%)</t>
  </si>
  <si>
    <t>49352.8535 ha</t>
  </si>
  <si>
    <t>Zawar Natural Resources (100%)</t>
  </si>
  <si>
    <t>94683.2912 ha</t>
  </si>
  <si>
    <t>1033.0268 ha</t>
  </si>
  <si>
    <t>Tchagra Farming Limited (100%)</t>
  </si>
  <si>
    <t>2875.5497 ha</t>
  </si>
  <si>
    <t>Nkem Mining and Oil Refinery Co Ltd (100%)</t>
  </si>
  <si>
    <t>Au, Co, Cu, U</t>
  </si>
  <si>
    <t>42454.3525 ha</t>
  </si>
  <si>
    <t>Yuzan Mining Company Limited (100%)</t>
  </si>
  <si>
    <t>GSR Ventures Zambia Limited (100%)</t>
  </si>
  <si>
    <t>Tailung Mining Investment Limited (100%)</t>
  </si>
  <si>
    <t>Ag, Au, Co, Cu, Fe, Ni, PGM, REE</t>
  </si>
  <si>
    <t>Mwanangwa Resources Limited (100%)</t>
  </si>
  <si>
    <t>White Horse Ventures Limited (100%)</t>
  </si>
  <si>
    <t>Tubombeshe Mining Limited (100%)</t>
  </si>
  <si>
    <t>Au, Co, Cu, Fe, Mn, Ni, U, Zn</t>
  </si>
  <si>
    <t>8531.7863 ha</t>
  </si>
  <si>
    <t>1627.6515 ha</t>
  </si>
  <si>
    <t>Front Sky Mining Company Limited (100%)</t>
  </si>
  <si>
    <t>1461.4001 ha</t>
  </si>
  <si>
    <t>AQM, Au, Cu, EM, Fe, Mn, TML</t>
  </si>
  <si>
    <t>6.6683 ha</t>
  </si>
  <si>
    <t>China Geo-Engineering Corporation (100%)</t>
  </si>
  <si>
    <t>726.1071 ha</t>
  </si>
  <si>
    <t>4346.6000 ha</t>
  </si>
  <si>
    <t>Cyprus Tembo (100%)</t>
  </si>
  <si>
    <t>6.6339 ha</t>
  </si>
  <si>
    <t>Bubala Namakobo (100%)</t>
  </si>
  <si>
    <t>6.6784 ha</t>
  </si>
  <si>
    <t>kabaso Babba Mulenga (100%)</t>
  </si>
  <si>
    <t>6.6786 ha</t>
  </si>
  <si>
    <t>Kalunkumya Chiefdom Community Resources Development Foundation Ltd (100%)</t>
  </si>
  <si>
    <t>Co, Cu, DOL, LST, Mn</t>
  </si>
  <si>
    <t>25317.4197 ha</t>
  </si>
  <si>
    <t>Casient Siamatika (100%)</t>
  </si>
  <si>
    <t>AMT, AQM, GAR, STN</t>
  </si>
  <si>
    <t>6.5637 ha</t>
  </si>
  <si>
    <t>Nthambose Jackueline Mhlanga (100%)</t>
  </si>
  <si>
    <t>6.6564 ha</t>
  </si>
  <si>
    <t>Ngowani Makasa (100%)</t>
  </si>
  <si>
    <t>David Bowa (100%)</t>
  </si>
  <si>
    <t>3.2582 ha</t>
  </si>
  <si>
    <t>Chilufya Mulenga (100%)</t>
  </si>
  <si>
    <t>6.6845 ha</t>
  </si>
  <si>
    <t>Dennis Daniel Vlahakis (100%)</t>
  </si>
  <si>
    <t>GRT, LAT, SAM, STN, STN2</t>
  </si>
  <si>
    <t>6.5818 ha</t>
  </si>
  <si>
    <t>Montauk Mining and Minerals Limited (100%)</t>
  </si>
  <si>
    <t>7419.8358 ha</t>
  </si>
  <si>
    <t>Kasakalabwe Investment Zambia Ltd (100%)</t>
  </si>
  <si>
    <t>Ag, Au, Co, Cu, Fe, Mn, PGM, REE, Sn</t>
  </si>
  <si>
    <t>20253.7845 ha</t>
  </si>
  <si>
    <t>Kennedy Katongo (100%)</t>
  </si>
  <si>
    <t>SAM, SDG</t>
  </si>
  <si>
    <t>6.7175 ha</t>
  </si>
  <si>
    <t>Armada Projects Zambia Limited (100%)</t>
  </si>
  <si>
    <t>77519.6575 ha</t>
  </si>
  <si>
    <t>95257.4859 ha</t>
  </si>
  <si>
    <t>Au, Co, Cu, Ni, Pt</t>
  </si>
  <si>
    <t>78706.9690 ha</t>
  </si>
  <si>
    <t>8951.3821 ha</t>
  </si>
  <si>
    <t>Blessed Prospecting Minerals Ltd (100%)</t>
  </si>
  <si>
    <t>Munjani Investment LTD (100%)</t>
  </si>
  <si>
    <t>Cu, LST, STN</t>
  </si>
  <si>
    <t>27421.4446 ha</t>
  </si>
  <si>
    <t>Ruida Investments Limited (100%)</t>
  </si>
  <si>
    <t>690.2716 ha</t>
  </si>
  <si>
    <t>Magnum Security Services Limited (100%)</t>
  </si>
  <si>
    <t>Ag, Au, Co, Cu, Fe, Pb, Ta, Ti, Zn</t>
  </si>
  <si>
    <t>5302.2602 ha</t>
  </si>
  <si>
    <t>Afro Metals Zambia Limited (100%)</t>
  </si>
  <si>
    <t>539.4126 ha</t>
  </si>
  <si>
    <t>Edward Lungu (100%)</t>
  </si>
  <si>
    <t>6.6277 ha</t>
  </si>
  <si>
    <t>Ackson.L. Shanzi (100%)</t>
  </si>
  <si>
    <t>6.6312 ha</t>
  </si>
  <si>
    <t>6.6311 ha</t>
  </si>
  <si>
    <t>Au, Be3Al2(SiO3)6, Co, Cu, GRT</t>
  </si>
  <si>
    <t>3656.8407 ha</t>
  </si>
  <si>
    <t>Silowana Mining Limited (100%)</t>
  </si>
  <si>
    <t>Au, Ca, Co, Cu, DIA, EM, Fe, Pt, S</t>
  </si>
  <si>
    <t>4872.2898 ha</t>
  </si>
  <si>
    <t>26027.9664 ha</t>
  </si>
  <si>
    <t>14336.7479 ha</t>
  </si>
  <si>
    <t>Agaphel investements Limited (100%)</t>
  </si>
  <si>
    <t>LST, LWA</t>
  </si>
  <si>
    <t>12134.8387 ha</t>
  </si>
  <si>
    <t>18336.8574 ha</t>
  </si>
  <si>
    <t>Afriwoods and Developments Limited (100%)</t>
  </si>
  <si>
    <t>1633.0922 ha</t>
  </si>
  <si>
    <t>Dickson Kasamata Ngosa (100%)</t>
  </si>
  <si>
    <t>6.7230 ha</t>
  </si>
  <si>
    <t>C-Lundwe Mining Limited (100%)</t>
  </si>
  <si>
    <t>Ag, Au, Co, Cu, DIA</t>
  </si>
  <si>
    <t>10028.5655 ha</t>
  </si>
  <si>
    <t>Ntinti Resourcse Limited (100%)</t>
  </si>
  <si>
    <t>Co, Cu, Ni, Zn</t>
  </si>
  <si>
    <t>39216.7340 ha</t>
  </si>
  <si>
    <t>Kalupa Resources Limited (100%)</t>
  </si>
  <si>
    <t>47032.1900 ha</t>
  </si>
  <si>
    <t>62679.2295 ha</t>
  </si>
  <si>
    <t>20414.3006 ha</t>
  </si>
  <si>
    <t>Riverbend Resources Private Limited (100%)</t>
  </si>
  <si>
    <t>Au, Co, Cu, Fe, Mn, REE</t>
  </si>
  <si>
    <t>7286.2859 ha</t>
  </si>
  <si>
    <t>Ag, Au, Cr, Cu, DIA, Ni, Pb, Zn</t>
  </si>
  <si>
    <t>13347.2932 ha</t>
  </si>
  <si>
    <t>Goldchip Investements Limited (100%)</t>
  </si>
  <si>
    <t>Au, Cu, Sb, Ta</t>
  </si>
  <si>
    <t>49881.7937 ha</t>
  </si>
  <si>
    <t>Bettson Mukuka (100%)</t>
  </si>
  <si>
    <t>6.7202 ha</t>
  </si>
  <si>
    <t>RPSJ Mines Limited (100%)</t>
  </si>
  <si>
    <t>1486.7279 ha</t>
  </si>
  <si>
    <t>1943.9072 ha</t>
  </si>
  <si>
    <t>Shakthi Mining Ltd (100%)</t>
  </si>
  <si>
    <t>20211.5110 ha</t>
  </si>
  <si>
    <t>59373.6198 ha</t>
  </si>
  <si>
    <t>am, GRT, LST, Mn</t>
  </si>
  <si>
    <t>6.6732 ha</t>
  </si>
  <si>
    <t>88494.0357 ha</t>
  </si>
  <si>
    <t>Au, COA, Cu, GRF, Mn, Rb</t>
  </si>
  <si>
    <t>2622.1460 ha</t>
  </si>
  <si>
    <t>450.9418 ha</t>
  </si>
  <si>
    <t>911.7780 ha</t>
  </si>
  <si>
    <t>2186.2866 ha</t>
  </si>
  <si>
    <t>2036.3699 ha</t>
  </si>
  <si>
    <t>2604.8123 ha</t>
  </si>
  <si>
    <t>Everflow Workline Zambia Limited (100%)</t>
  </si>
  <si>
    <t>4391.1355 ha</t>
  </si>
  <si>
    <t>Ag, Au, Cr, Cu, Fe, Ni, Pb, Zn</t>
  </si>
  <si>
    <t>6637.9914 ha</t>
  </si>
  <si>
    <t>Ndola Quarries Limited (100%)</t>
  </si>
  <si>
    <t>Ag, Au, Co, Cu, LST, Mn, Pb, Zn</t>
  </si>
  <si>
    <t>45276.3095 ha</t>
  </si>
  <si>
    <t>Parot Mining Company Limited (100%)</t>
  </si>
  <si>
    <t>Al, Au, CLY, Co, Cu, Mn, Zn</t>
  </si>
  <si>
    <t>22640.0216 ha</t>
  </si>
  <si>
    <t>am, DOL, GRT, LST</t>
  </si>
  <si>
    <t>6.6709 ha</t>
  </si>
  <si>
    <t>Comas Mwanashiku (100%)</t>
  </si>
  <si>
    <t>Ag, AMT, Au, Co, COA, Cu, EM, Mn, TML, Zn</t>
  </si>
  <si>
    <t>6.5357 ha</t>
  </si>
  <si>
    <t>Mathews .Z. Siabasimbi (100%)</t>
  </si>
  <si>
    <t>Ag, AMT, Au, Co, COA, Cu, EM, Fe, LST, Mn, TML, Zn</t>
  </si>
  <si>
    <t>6.5358 ha</t>
  </si>
  <si>
    <t>3411.4281 ha</t>
  </si>
  <si>
    <t>53702.2689 ha</t>
  </si>
  <si>
    <t>Betty Mathews Tembo (100%)</t>
  </si>
  <si>
    <t>6.5855 ha</t>
  </si>
  <si>
    <t>David Mubanga (100%)</t>
  </si>
  <si>
    <t>6.6194 ha</t>
  </si>
  <si>
    <t>Au, Co, Cr, Cu, Mo, Nb, Pb, REE, Sn, Ta, W, Zn</t>
  </si>
  <si>
    <t>53611.4281 ha</t>
  </si>
  <si>
    <t>Iain Findlay</t>
  </si>
  <si>
    <t>Troy Philip Simutunda</t>
  </si>
  <si>
    <t>6.6729 ha</t>
  </si>
  <si>
    <t>Katenge Resources Limited</t>
  </si>
  <si>
    <t>Au, Co, Cu, Fe, Sb, Ti, U</t>
  </si>
  <si>
    <t>23313.1331 ha</t>
  </si>
  <si>
    <t>AFR Zambia Limited (100%)</t>
  </si>
  <si>
    <t>3781.4896 ha</t>
  </si>
  <si>
    <t>Shi And Yan</t>
  </si>
  <si>
    <t>Pangeni Mineral Resources Limited</t>
  </si>
  <si>
    <t>1672.0847 ha</t>
  </si>
  <si>
    <t>Adam Issa Iqubal (100%)</t>
  </si>
  <si>
    <t>AQM, GAR, QTZ</t>
  </si>
  <si>
    <t>240.1438 ha</t>
  </si>
  <si>
    <r>
      <t>3.9392 km</t>
    </r>
    <r>
      <rPr>
        <vertAlign val="superscript"/>
        <sz val="8"/>
        <color theme="1"/>
        <rFont val="Arial"/>
        <family val="2"/>
      </rPr>
      <t>2</t>
    </r>
  </si>
  <si>
    <r>
      <t>3.6841 km</t>
    </r>
    <r>
      <rPr>
        <vertAlign val="superscript"/>
        <sz val="8"/>
        <color theme="1"/>
        <rFont val="Arial"/>
        <family val="2"/>
      </rPr>
      <t>2</t>
    </r>
  </si>
  <si>
    <r>
      <t>0.4005 km</t>
    </r>
    <r>
      <rPr>
        <vertAlign val="superscript"/>
        <sz val="8"/>
        <color theme="1"/>
        <rFont val="Arial"/>
        <family val="2"/>
      </rPr>
      <t>2</t>
    </r>
  </si>
  <si>
    <r>
      <t>21.1807 km</t>
    </r>
    <r>
      <rPr>
        <vertAlign val="superscript"/>
        <sz val="8"/>
        <color theme="1"/>
        <rFont val="Arial"/>
        <family val="2"/>
      </rPr>
      <t>2</t>
    </r>
  </si>
  <si>
    <r>
      <t>3.9688 km</t>
    </r>
    <r>
      <rPr>
        <vertAlign val="superscript"/>
        <sz val="8"/>
        <color theme="1"/>
        <rFont val="Arial"/>
        <family val="2"/>
      </rPr>
      <t>2</t>
    </r>
  </si>
  <si>
    <r>
      <t>28.0207 km</t>
    </r>
    <r>
      <rPr>
        <vertAlign val="superscript"/>
        <sz val="8"/>
        <color theme="1"/>
        <rFont val="Arial"/>
        <family val="2"/>
      </rPr>
      <t>2</t>
    </r>
  </si>
  <si>
    <r>
      <t>3.8473 km</t>
    </r>
    <r>
      <rPr>
        <vertAlign val="superscript"/>
        <sz val="8"/>
        <color theme="1"/>
        <rFont val="Arial"/>
        <family val="2"/>
      </rPr>
      <t>2</t>
    </r>
  </si>
  <si>
    <r>
      <t>9.5671 km</t>
    </r>
    <r>
      <rPr>
        <vertAlign val="superscript"/>
        <sz val="8"/>
        <color theme="1"/>
        <rFont val="Arial"/>
        <family val="2"/>
      </rPr>
      <t>2</t>
    </r>
  </si>
  <si>
    <r>
      <t>0.0652 km</t>
    </r>
    <r>
      <rPr>
        <vertAlign val="superscript"/>
        <sz val="8"/>
        <color theme="1"/>
        <rFont val="Arial"/>
        <family val="2"/>
      </rPr>
      <t>2</t>
    </r>
  </si>
  <si>
    <r>
      <t>256.5871 km</t>
    </r>
    <r>
      <rPr>
        <vertAlign val="superscript"/>
        <sz val="8"/>
        <color theme="1"/>
        <rFont val="Arial"/>
        <family val="2"/>
      </rPr>
      <t>2</t>
    </r>
  </si>
  <si>
    <r>
      <t>30.6204 km</t>
    </r>
    <r>
      <rPr>
        <vertAlign val="superscript"/>
        <sz val="8"/>
        <color theme="1"/>
        <rFont val="Arial"/>
        <family val="2"/>
      </rPr>
      <t>2</t>
    </r>
  </si>
  <si>
    <r>
      <t>54.4246 km</t>
    </r>
    <r>
      <rPr>
        <vertAlign val="superscript"/>
        <sz val="8"/>
        <color theme="1"/>
        <rFont val="Arial"/>
        <family val="2"/>
      </rPr>
      <t>2</t>
    </r>
  </si>
  <si>
    <r>
      <t>42.1781 km</t>
    </r>
    <r>
      <rPr>
        <vertAlign val="superscript"/>
        <sz val="8"/>
        <color theme="1"/>
        <rFont val="Arial"/>
        <family val="2"/>
      </rPr>
      <t>2</t>
    </r>
  </si>
  <si>
    <r>
      <t>925.9587 km</t>
    </r>
    <r>
      <rPr>
        <vertAlign val="superscript"/>
        <sz val="8"/>
        <color theme="1"/>
        <rFont val="Arial"/>
        <family val="2"/>
      </rPr>
      <t>2</t>
    </r>
  </si>
  <si>
    <r>
      <t>3.8384 km</t>
    </r>
    <r>
      <rPr>
        <vertAlign val="superscript"/>
        <sz val="8"/>
        <color theme="1"/>
        <rFont val="Arial"/>
        <family val="2"/>
      </rPr>
      <t>2</t>
    </r>
  </si>
  <si>
    <r>
      <t>19.8201 km</t>
    </r>
    <r>
      <rPr>
        <vertAlign val="superscript"/>
        <sz val="8"/>
        <color theme="1"/>
        <rFont val="Arial"/>
        <family val="2"/>
      </rPr>
      <t>2</t>
    </r>
  </si>
  <si>
    <r>
      <t>4.2428 km</t>
    </r>
    <r>
      <rPr>
        <vertAlign val="superscript"/>
        <sz val="8"/>
        <color theme="1"/>
        <rFont val="Arial"/>
        <family val="2"/>
      </rPr>
      <t>2</t>
    </r>
  </si>
  <si>
    <r>
      <t>0.0665 km</t>
    </r>
    <r>
      <rPr>
        <vertAlign val="superscript"/>
        <sz val="8"/>
        <color theme="1"/>
        <rFont val="Arial"/>
        <family val="2"/>
      </rPr>
      <t>2</t>
    </r>
  </si>
  <si>
    <r>
      <t>9.5934 km</t>
    </r>
    <r>
      <rPr>
        <vertAlign val="superscript"/>
        <sz val="8"/>
        <color theme="1"/>
        <rFont val="Arial"/>
        <family val="2"/>
      </rPr>
      <t>2</t>
    </r>
  </si>
  <si>
    <r>
      <t>9.5600 km</t>
    </r>
    <r>
      <rPr>
        <vertAlign val="superscript"/>
        <sz val="8"/>
        <color theme="1"/>
        <rFont val="Arial"/>
        <family val="2"/>
      </rPr>
      <t>2</t>
    </r>
  </si>
  <si>
    <r>
      <t>8.9311 km</t>
    </r>
    <r>
      <rPr>
        <vertAlign val="superscript"/>
        <sz val="8"/>
        <color theme="1"/>
        <rFont val="Arial"/>
        <family val="2"/>
      </rPr>
      <t>2</t>
    </r>
  </si>
  <si>
    <r>
      <t>8.4604 km</t>
    </r>
    <r>
      <rPr>
        <vertAlign val="superscript"/>
        <sz val="8"/>
        <color theme="1"/>
        <rFont val="Arial"/>
        <family val="2"/>
      </rPr>
      <t>2</t>
    </r>
  </si>
  <si>
    <r>
      <t>4.6154 km</t>
    </r>
    <r>
      <rPr>
        <vertAlign val="superscript"/>
        <sz val="8"/>
        <color theme="1"/>
        <rFont val="Arial"/>
        <family val="2"/>
      </rPr>
      <t>2</t>
    </r>
  </si>
  <si>
    <r>
      <t>31.3376 km</t>
    </r>
    <r>
      <rPr>
        <vertAlign val="superscript"/>
        <sz val="8"/>
        <color theme="1"/>
        <rFont val="Arial"/>
        <family val="2"/>
      </rPr>
      <t>2</t>
    </r>
  </si>
  <si>
    <r>
      <t>0.0331 km</t>
    </r>
    <r>
      <rPr>
        <vertAlign val="superscript"/>
        <sz val="8"/>
        <color theme="1"/>
        <rFont val="Arial"/>
        <family val="2"/>
      </rPr>
      <t>2</t>
    </r>
  </si>
  <si>
    <r>
      <t>101.4844 km</t>
    </r>
    <r>
      <rPr>
        <vertAlign val="superscript"/>
        <sz val="8"/>
        <color theme="1"/>
        <rFont val="Arial"/>
        <family val="2"/>
      </rPr>
      <t>2</t>
    </r>
  </si>
  <si>
    <r>
      <t>47.8169 km</t>
    </r>
    <r>
      <rPr>
        <vertAlign val="superscript"/>
        <sz val="8"/>
        <color theme="1"/>
        <rFont val="Arial"/>
        <family val="2"/>
      </rPr>
      <t>2</t>
    </r>
  </si>
  <si>
    <r>
      <t>390.8901 km</t>
    </r>
    <r>
      <rPr>
        <vertAlign val="superscript"/>
        <sz val="8"/>
        <color theme="1"/>
        <rFont val="Arial"/>
        <family val="2"/>
      </rPr>
      <t>2</t>
    </r>
  </si>
  <si>
    <r>
      <t>2.2871 km</t>
    </r>
    <r>
      <rPr>
        <vertAlign val="superscript"/>
        <sz val="8"/>
        <color theme="1"/>
        <rFont val="Arial"/>
        <family val="2"/>
      </rPr>
      <t>2</t>
    </r>
  </si>
  <si>
    <r>
      <t>3.2983 km</t>
    </r>
    <r>
      <rPr>
        <vertAlign val="superscript"/>
        <sz val="8"/>
        <color theme="1"/>
        <rFont val="Arial"/>
        <family val="2"/>
      </rPr>
      <t>2</t>
    </r>
  </si>
  <si>
    <r>
      <t>62.2635 km</t>
    </r>
    <r>
      <rPr>
        <vertAlign val="superscript"/>
        <sz val="8"/>
        <color theme="1"/>
        <rFont val="Arial"/>
        <family val="2"/>
      </rPr>
      <t>2</t>
    </r>
  </si>
  <si>
    <r>
      <t>70.1505 km</t>
    </r>
    <r>
      <rPr>
        <vertAlign val="superscript"/>
        <sz val="8"/>
        <color theme="1"/>
        <rFont val="Arial"/>
        <family val="2"/>
      </rPr>
      <t>2</t>
    </r>
  </si>
  <si>
    <r>
      <t>100.7706 km</t>
    </r>
    <r>
      <rPr>
        <vertAlign val="superscript"/>
        <sz val="8"/>
        <color theme="1"/>
        <rFont val="Arial"/>
        <family val="2"/>
      </rPr>
      <t>2</t>
    </r>
  </si>
  <si>
    <r>
      <t>5.4974 km</t>
    </r>
    <r>
      <rPr>
        <vertAlign val="superscript"/>
        <sz val="8"/>
        <color theme="1"/>
        <rFont val="Arial"/>
        <family val="2"/>
      </rPr>
      <t>2</t>
    </r>
  </si>
  <si>
    <r>
      <t>36.6264 km</t>
    </r>
    <r>
      <rPr>
        <vertAlign val="superscript"/>
        <sz val="8"/>
        <color theme="1"/>
        <rFont val="Arial"/>
        <family val="2"/>
      </rPr>
      <t>2</t>
    </r>
  </si>
  <si>
    <r>
      <t>31.4233 km</t>
    </r>
    <r>
      <rPr>
        <vertAlign val="superscript"/>
        <sz val="8"/>
        <color theme="1"/>
        <rFont val="Arial"/>
        <family val="2"/>
      </rPr>
      <t>2</t>
    </r>
  </si>
  <si>
    <r>
      <t>101.1621 km</t>
    </r>
    <r>
      <rPr>
        <vertAlign val="superscript"/>
        <sz val="8"/>
        <color theme="1"/>
        <rFont val="Arial"/>
        <family val="2"/>
      </rPr>
      <t>2</t>
    </r>
  </si>
  <si>
    <r>
      <t>817.9126 km</t>
    </r>
    <r>
      <rPr>
        <vertAlign val="superscript"/>
        <sz val="8"/>
        <color theme="1"/>
        <rFont val="Arial"/>
        <family val="2"/>
      </rPr>
      <t>2</t>
    </r>
  </si>
  <si>
    <r>
      <t>9.8042 km</t>
    </r>
    <r>
      <rPr>
        <vertAlign val="superscript"/>
        <sz val="8"/>
        <color theme="1"/>
        <rFont val="Arial"/>
        <family val="2"/>
      </rPr>
      <t>2</t>
    </r>
  </si>
  <si>
    <r>
      <t>3.9877 km</t>
    </r>
    <r>
      <rPr>
        <vertAlign val="superscript"/>
        <sz val="8"/>
        <color theme="1"/>
        <rFont val="Arial"/>
        <family val="2"/>
      </rPr>
      <t>2</t>
    </r>
  </si>
  <si>
    <r>
      <t>5.6367 km</t>
    </r>
    <r>
      <rPr>
        <vertAlign val="superscript"/>
        <sz val="8"/>
        <color theme="1"/>
        <rFont val="Arial"/>
        <family val="2"/>
      </rPr>
      <t>2</t>
    </r>
  </si>
  <si>
    <r>
      <t>5.6384 km</t>
    </r>
    <r>
      <rPr>
        <vertAlign val="superscript"/>
        <sz val="8"/>
        <color theme="1"/>
        <rFont val="Arial"/>
        <family val="2"/>
      </rPr>
      <t>2</t>
    </r>
  </si>
  <si>
    <r>
      <t>39.6212 km</t>
    </r>
    <r>
      <rPr>
        <vertAlign val="superscript"/>
        <sz val="8"/>
        <color theme="1"/>
        <rFont val="Arial"/>
        <family val="2"/>
      </rPr>
      <t>2</t>
    </r>
  </si>
  <si>
    <r>
      <t>56.3060 km</t>
    </r>
    <r>
      <rPr>
        <vertAlign val="superscript"/>
        <sz val="8"/>
        <color theme="1"/>
        <rFont val="Arial"/>
        <family val="2"/>
      </rPr>
      <t>2</t>
    </r>
  </si>
  <si>
    <r>
      <t>49.2815 km</t>
    </r>
    <r>
      <rPr>
        <vertAlign val="superscript"/>
        <sz val="8"/>
        <color theme="1"/>
        <rFont val="Arial"/>
        <family val="2"/>
      </rPr>
      <t>2</t>
    </r>
  </si>
  <si>
    <r>
      <t>17.6712 km</t>
    </r>
    <r>
      <rPr>
        <vertAlign val="superscript"/>
        <sz val="8"/>
        <color theme="1"/>
        <rFont val="Arial"/>
        <family val="2"/>
      </rPr>
      <t>2</t>
    </r>
  </si>
  <si>
    <r>
      <t>3.4322 km</t>
    </r>
    <r>
      <rPr>
        <vertAlign val="superscript"/>
        <sz val="8"/>
        <color theme="1"/>
        <rFont val="Arial"/>
        <family val="2"/>
      </rPr>
      <t>2</t>
    </r>
  </si>
  <si>
    <r>
      <t>17.2197 km</t>
    </r>
    <r>
      <rPr>
        <vertAlign val="superscript"/>
        <sz val="8"/>
        <color theme="1"/>
        <rFont val="Arial"/>
        <family val="2"/>
      </rPr>
      <t>2</t>
    </r>
  </si>
  <si>
    <r>
      <t>0.0662 km</t>
    </r>
    <r>
      <rPr>
        <vertAlign val="superscript"/>
        <sz val="8"/>
        <color theme="1"/>
        <rFont val="Arial"/>
        <family val="2"/>
      </rPr>
      <t>2</t>
    </r>
  </si>
  <si>
    <r>
      <t>9.2832 km</t>
    </r>
    <r>
      <rPr>
        <vertAlign val="superscript"/>
        <sz val="8"/>
        <color theme="1"/>
        <rFont val="Arial"/>
        <family val="2"/>
      </rPr>
      <t>2</t>
    </r>
  </si>
  <si>
    <r>
      <t>9.4509 km</t>
    </r>
    <r>
      <rPr>
        <vertAlign val="superscript"/>
        <sz val="8"/>
        <color theme="1"/>
        <rFont val="Arial"/>
        <family val="2"/>
      </rPr>
      <t>2</t>
    </r>
  </si>
  <si>
    <r>
      <t>233.3245 km</t>
    </r>
    <r>
      <rPr>
        <vertAlign val="superscript"/>
        <sz val="8"/>
        <color theme="1"/>
        <rFont val="Arial"/>
        <family val="2"/>
      </rPr>
      <t>2</t>
    </r>
  </si>
  <si>
    <r>
      <t>65.1424 km</t>
    </r>
    <r>
      <rPr>
        <vertAlign val="superscript"/>
        <sz val="8"/>
        <color theme="1"/>
        <rFont val="Arial"/>
        <family val="2"/>
      </rPr>
      <t>2</t>
    </r>
  </si>
  <si>
    <r>
      <t>5.2099 km</t>
    </r>
    <r>
      <rPr>
        <vertAlign val="superscript"/>
        <sz val="8"/>
        <color theme="1"/>
        <rFont val="Arial"/>
        <family val="2"/>
      </rPr>
      <t>2</t>
    </r>
  </si>
  <si>
    <r>
      <t>196.1953 km</t>
    </r>
    <r>
      <rPr>
        <vertAlign val="superscript"/>
        <sz val="8"/>
        <color theme="1"/>
        <rFont val="Arial"/>
        <family val="2"/>
      </rPr>
      <t>2</t>
    </r>
  </si>
  <si>
    <r>
      <t>322.3448 km</t>
    </r>
    <r>
      <rPr>
        <vertAlign val="superscript"/>
        <sz val="8"/>
        <color theme="1"/>
        <rFont val="Arial"/>
        <family val="2"/>
      </rPr>
      <t>2</t>
    </r>
  </si>
  <si>
    <r>
      <t>204.6801 km</t>
    </r>
    <r>
      <rPr>
        <vertAlign val="superscript"/>
        <sz val="8"/>
        <color theme="1"/>
        <rFont val="Arial"/>
        <family val="2"/>
      </rPr>
      <t>2</t>
    </r>
  </si>
  <si>
    <r>
      <t>160.1378 km</t>
    </r>
    <r>
      <rPr>
        <vertAlign val="superscript"/>
        <sz val="8"/>
        <color theme="1"/>
        <rFont val="Arial"/>
        <family val="2"/>
      </rPr>
      <t>2</t>
    </r>
  </si>
  <si>
    <r>
      <t>3.9756 km</t>
    </r>
    <r>
      <rPr>
        <vertAlign val="superscript"/>
        <sz val="8"/>
        <color theme="1"/>
        <rFont val="Arial"/>
        <family val="2"/>
      </rPr>
      <t>2</t>
    </r>
  </si>
  <si>
    <r>
      <t>41.1905 km</t>
    </r>
    <r>
      <rPr>
        <vertAlign val="superscript"/>
        <sz val="8"/>
        <color theme="1"/>
        <rFont val="Arial"/>
        <family val="2"/>
      </rPr>
      <t>2</t>
    </r>
  </si>
  <si>
    <r>
      <t>101.5971 km</t>
    </r>
    <r>
      <rPr>
        <vertAlign val="superscript"/>
        <sz val="8"/>
        <color theme="1"/>
        <rFont val="Arial"/>
        <family val="2"/>
      </rPr>
      <t>2</t>
    </r>
  </si>
  <si>
    <r>
      <t>248.6790 km</t>
    </r>
    <r>
      <rPr>
        <vertAlign val="superscript"/>
        <sz val="8"/>
        <color theme="1"/>
        <rFont val="Arial"/>
        <family val="2"/>
      </rPr>
      <t>2</t>
    </r>
  </si>
  <si>
    <r>
      <t>175.8796 km</t>
    </r>
    <r>
      <rPr>
        <vertAlign val="superscript"/>
        <sz val="8"/>
        <color theme="1"/>
        <rFont val="Arial"/>
        <family val="2"/>
      </rPr>
      <t>2</t>
    </r>
  </si>
  <si>
    <r>
      <t>144.8305 km</t>
    </r>
    <r>
      <rPr>
        <vertAlign val="superscript"/>
        <sz val="8"/>
        <color theme="1"/>
        <rFont val="Arial"/>
        <family val="2"/>
      </rPr>
      <t>2</t>
    </r>
  </si>
  <si>
    <r>
      <t>224.0328 km</t>
    </r>
    <r>
      <rPr>
        <vertAlign val="superscript"/>
        <sz val="8"/>
        <color theme="1"/>
        <rFont val="Arial"/>
        <family val="2"/>
      </rPr>
      <t>2</t>
    </r>
  </si>
  <si>
    <r>
      <t>466.8799 km</t>
    </r>
    <r>
      <rPr>
        <vertAlign val="superscript"/>
        <sz val="8"/>
        <color theme="1"/>
        <rFont val="Arial"/>
        <family val="2"/>
      </rPr>
      <t>2</t>
    </r>
  </si>
  <si>
    <r>
      <t>68.1595 km</t>
    </r>
    <r>
      <rPr>
        <vertAlign val="superscript"/>
        <sz val="8"/>
        <color theme="1"/>
        <rFont val="Arial"/>
        <family val="2"/>
      </rPr>
      <t>2</t>
    </r>
  </si>
  <si>
    <r>
      <t>627.3613 km</t>
    </r>
    <r>
      <rPr>
        <vertAlign val="superscript"/>
        <sz val="8"/>
        <color theme="1"/>
        <rFont val="Arial"/>
        <family val="2"/>
      </rPr>
      <t>2</t>
    </r>
  </si>
  <si>
    <r>
      <t>8.6365 km</t>
    </r>
    <r>
      <rPr>
        <vertAlign val="superscript"/>
        <sz val="8"/>
        <color theme="1"/>
        <rFont val="Arial"/>
        <family val="2"/>
      </rPr>
      <t>2</t>
    </r>
  </si>
  <si>
    <r>
      <t>0.5335 km</t>
    </r>
    <r>
      <rPr>
        <vertAlign val="superscript"/>
        <sz val="8"/>
        <color theme="1"/>
        <rFont val="Arial"/>
        <family val="2"/>
      </rPr>
      <t>2</t>
    </r>
  </si>
  <si>
    <r>
      <t>51.7724 km</t>
    </r>
    <r>
      <rPr>
        <vertAlign val="superscript"/>
        <sz val="8"/>
        <color theme="1"/>
        <rFont val="Arial"/>
        <family val="2"/>
      </rPr>
      <t>2</t>
    </r>
  </si>
  <si>
    <r>
      <t>340.2008 km</t>
    </r>
    <r>
      <rPr>
        <vertAlign val="superscript"/>
        <sz val="8"/>
        <color theme="1"/>
        <rFont val="Arial"/>
        <family val="2"/>
      </rPr>
      <t>2</t>
    </r>
  </si>
  <si>
    <r>
      <t>414.9101 km</t>
    </r>
    <r>
      <rPr>
        <vertAlign val="superscript"/>
        <sz val="8"/>
        <color theme="1"/>
        <rFont val="Arial"/>
        <family val="2"/>
      </rPr>
      <t>2</t>
    </r>
  </si>
  <si>
    <r>
      <t>1.6690 km</t>
    </r>
    <r>
      <rPr>
        <vertAlign val="superscript"/>
        <sz val="8"/>
        <color theme="1"/>
        <rFont val="Arial"/>
        <family val="2"/>
      </rPr>
      <t>2</t>
    </r>
  </si>
  <si>
    <r>
      <t>27.8560 km</t>
    </r>
    <r>
      <rPr>
        <vertAlign val="superscript"/>
        <sz val="8"/>
        <color theme="1"/>
        <rFont val="Arial"/>
        <family val="2"/>
      </rPr>
      <t>2</t>
    </r>
  </si>
  <si>
    <r>
      <t>501.5588 km</t>
    </r>
    <r>
      <rPr>
        <vertAlign val="superscript"/>
        <sz val="8"/>
        <color theme="1"/>
        <rFont val="Arial"/>
        <family val="2"/>
      </rPr>
      <t>2</t>
    </r>
  </si>
  <si>
    <r>
      <t>45.5218 km</t>
    </r>
    <r>
      <rPr>
        <vertAlign val="superscript"/>
        <sz val="8"/>
        <color theme="1"/>
        <rFont val="Arial"/>
        <family val="2"/>
      </rPr>
      <t>2</t>
    </r>
  </si>
  <si>
    <r>
      <t>6.4388 km</t>
    </r>
    <r>
      <rPr>
        <vertAlign val="superscript"/>
        <sz val="8"/>
        <color theme="1"/>
        <rFont val="Arial"/>
        <family val="2"/>
      </rPr>
      <t>2</t>
    </r>
  </si>
  <si>
    <r>
      <t>498.8979 km</t>
    </r>
    <r>
      <rPr>
        <vertAlign val="superscript"/>
        <sz val="8"/>
        <color theme="1"/>
        <rFont val="Arial"/>
        <family val="2"/>
      </rPr>
      <t>2</t>
    </r>
  </si>
  <si>
    <r>
      <t>890.0095 km</t>
    </r>
    <r>
      <rPr>
        <vertAlign val="superscript"/>
        <sz val="8"/>
        <color theme="1"/>
        <rFont val="Arial"/>
        <family val="2"/>
      </rPr>
      <t>2</t>
    </r>
  </si>
  <si>
    <r>
      <t>197.1698 km</t>
    </r>
    <r>
      <rPr>
        <vertAlign val="superscript"/>
        <sz val="8"/>
        <color theme="1"/>
        <rFont val="Arial"/>
        <family val="2"/>
      </rPr>
      <t>2</t>
    </r>
  </si>
  <si>
    <r>
      <t>11.2872 km</t>
    </r>
    <r>
      <rPr>
        <vertAlign val="superscript"/>
        <sz val="8"/>
        <color theme="1"/>
        <rFont val="Arial"/>
        <family val="2"/>
      </rPr>
      <t>2</t>
    </r>
  </si>
  <si>
    <r>
      <t>141.5168 km</t>
    </r>
    <r>
      <rPr>
        <vertAlign val="superscript"/>
        <sz val="8"/>
        <color theme="1"/>
        <rFont val="Arial"/>
        <family val="2"/>
      </rPr>
      <t>2</t>
    </r>
  </si>
  <si>
    <r>
      <t>41.5824 km</t>
    </r>
    <r>
      <rPr>
        <vertAlign val="superscript"/>
        <sz val="8"/>
        <color theme="1"/>
        <rFont val="Arial"/>
        <family val="2"/>
      </rPr>
      <t>2</t>
    </r>
  </si>
  <si>
    <r>
      <t>144.0420 km</t>
    </r>
    <r>
      <rPr>
        <vertAlign val="superscript"/>
        <sz val="8"/>
        <color theme="1"/>
        <rFont val="Arial"/>
        <family val="2"/>
      </rPr>
      <t>2</t>
    </r>
  </si>
  <si>
    <r>
      <t>119.5184 km</t>
    </r>
    <r>
      <rPr>
        <vertAlign val="superscript"/>
        <sz val="8"/>
        <color theme="1"/>
        <rFont val="Arial"/>
        <family val="2"/>
      </rPr>
      <t>2</t>
    </r>
  </si>
  <si>
    <r>
      <t>164.8428 km</t>
    </r>
    <r>
      <rPr>
        <vertAlign val="superscript"/>
        <sz val="8"/>
        <color theme="1"/>
        <rFont val="Arial"/>
        <family val="2"/>
      </rPr>
      <t>2</t>
    </r>
  </si>
  <si>
    <r>
      <t>0.1327 km</t>
    </r>
    <r>
      <rPr>
        <vertAlign val="superscript"/>
        <sz val="8"/>
        <color theme="1"/>
        <rFont val="Arial"/>
        <family val="2"/>
      </rPr>
      <t>2</t>
    </r>
  </si>
  <si>
    <r>
      <t>22.7463 km</t>
    </r>
    <r>
      <rPr>
        <vertAlign val="superscript"/>
        <sz val="8"/>
        <color theme="1"/>
        <rFont val="Arial"/>
        <family val="2"/>
      </rPr>
      <t>2</t>
    </r>
  </si>
  <si>
    <r>
      <t>82.9722 km</t>
    </r>
    <r>
      <rPr>
        <vertAlign val="superscript"/>
        <sz val="8"/>
        <color theme="1"/>
        <rFont val="Arial"/>
        <family val="2"/>
      </rPr>
      <t>2</t>
    </r>
  </si>
  <si>
    <r>
      <t>146.7572 km</t>
    </r>
    <r>
      <rPr>
        <vertAlign val="superscript"/>
        <sz val="8"/>
        <color theme="1"/>
        <rFont val="Arial"/>
        <family val="2"/>
      </rPr>
      <t>2</t>
    </r>
  </si>
  <si>
    <r>
      <t>556.2365 km</t>
    </r>
    <r>
      <rPr>
        <vertAlign val="superscript"/>
        <sz val="8"/>
        <color theme="1"/>
        <rFont val="Arial"/>
        <family val="2"/>
      </rPr>
      <t>2</t>
    </r>
  </si>
  <si>
    <r>
      <t>0.0666 km</t>
    </r>
    <r>
      <rPr>
        <vertAlign val="superscript"/>
        <sz val="8"/>
        <color theme="1"/>
        <rFont val="Arial"/>
        <family val="2"/>
      </rPr>
      <t>2</t>
    </r>
  </si>
  <si>
    <r>
      <t>247.3949 km</t>
    </r>
    <r>
      <rPr>
        <vertAlign val="superscript"/>
        <sz val="8"/>
        <color theme="1"/>
        <rFont val="Arial"/>
        <family val="2"/>
      </rPr>
      <t>2</t>
    </r>
  </si>
  <si>
    <r>
      <t>631.5402 km</t>
    </r>
    <r>
      <rPr>
        <vertAlign val="superscript"/>
        <sz val="8"/>
        <color theme="1"/>
        <rFont val="Arial"/>
        <family val="2"/>
      </rPr>
      <t>2</t>
    </r>
  </si>
  <si>
    <r>
      <t>77.8711 km</t>
    </r>
    <r>
      <rPr>
        <vertAlign val="superscript"/>
        <sz val="8"/>
        <color theme="1"/>
        <rFont val="Arial"/>
        <family val="2"/>
      </rPr>
      <t>2</t>
    </r>
  </si>
  <si>
    <r>
      <t>19.2886 km</t>
    </r>
    <r>
      <rPr>
        <vertAlign val="superscript"/>
        <sz val="8"/>
        <color theme="1"/>
        <rFont val="Arial"/>
        <family val="2"/>
      </rPr>
      <t>2</t>
    </r>
  </si>
  <si>
    <r>
      <t>15.4219 km</t>
    </r>
    <r>
      <rPr>
        <vertAlign val="superscript"/>
        <sz val="8"/>
        <color theme="1"/>
        <rFont val="Arial"/>
        <family val="2"/>
      </rPr>
      <t>2</t>
    </r>
  </si>
  <si>
    <r>
      <t>62.2680 km</t>
    </r>
    <r>
      <rPr>
        <vertAlign val="superscript"/>
        <sz val="8"/>
        <color theme="1"/>
        <rFont val="Arial"/>
        <family val="2"/>
      </rPr>
      <t>2</t>
    </r>
  </si>
  <si>
    <r>
      <t>20.2886 km</t>
    </r>
    <r>
      <rPr>
        <vertAlign val="superscript"/>
        <sz val="8"/>
        <color theme="1"/>
        <rFont val="Arial"/>
        <family val="2"/>
      </rPr>
      <t>2</t>
    </r>
  </si>
  <si>
    <r>
      <t>13.8559 km</t>
    </r>
    <r>
      <rPr>
        <vertAlign val="superscript"/>
        <sz val="8"/>
        <color theme="1"/>
        <rFont val="Arial"/>
        <family val="2"/>
      </rPr>
      <t>2</t>
    </r>
  </si>
  <si>
    <r>
      <t>71.4881 km</t>
    </r>
    <r>
      <rPr>
        <vertAlign val="superscript"/>
        <sz val="8"/>
        <color theme="1"/>
        <rFont val="Arial"/>
        <family val="2"/>
      </rPr>
      <t>2</t>
    </r>
  </si>
  <si>
    <r>
      <t>145.8099 km</t>
    </r>
    <r>
      <rPr>
        <vertAlign val="superscript"/>
        <sz val="8"/>
        <color theme="1"/>
        <rFont val="Arial"/>
        <family val="2"/>
      </rPr>
      <t>2</t>
    </r>
  </si>
  <si>
    <r>
      <t>89.3526 km</t>
    </r>
    <r>
      <rPr>
        <vertAlign val="superscript"/>
        <sz val="8"/>
        <color theme="1"/>
        <rFont val="Arial"/>
        <family val="2"/>
      </rPr>
      <t>2</t>
    </r>
  </si>
  <si>
    <r>
      <t>239.9487 km</t>
    </r>
    <r>
      <rPr>
        <vertAlign val="superscript"/>
        <sz val="8"/>
        <color theme="1"/>
        <rFont val="Arial"/>
        <family val="2"/>
      </rPr>
      <t>2</t>
    </r>
  </si>
  <si>
    <r>
      <t>130.2289 km</t>
    </r>
    <r>
      <rPr>
        <vertAlign val="superscript"/>
        <sz val="8"/>
        <color theme="1"/>
        <rFont val="Arial"/>
        <family val="2"/>
      </rPr>
      <t>2</t>
    </r>
  </si>
  <si>
    <r>
      <t>31.1360 km</t>
    </r>
    <r>
      <rPr>
        <vertAlign val="superscript"/>
        <sz val="8"/>
        <color theme="1"/>
        <rFont val="Arial"/>
        <family val="2"/>
      </rPr>
      <t>2</t>
    </r>
  </si>
  <si>
    <r>
      <t>98.2639 km</t>
    </r>
    <r>
      <rPr>
        <vertAlign val="superscript"/>
        <sz val="8"/>
        <color theme="1"/>
        <rFont val="Arial"/>
        <family val="2"/>
      </rPr>
      <t>2</t>
    </r>
  </si>
  <si>
    <r>
      <t>18.1292 km</t>
    </r>
    <r>
      <rPr>
        <vertAlign val="superscript"/>
        <sz val="8"/>
        <color theme="1"/>
        <rFont val="Arial"/>
        <family val="2"/>
      </rPr>
      <t>2</t>
    </r>
  </si>
  <si>
    <r>
      <t>0.0667 km</t>
    </r>
    <r>
      <rPr>
        <vertAlign val="superscript"/>
        <sz val="8"/>
        <color theme="1"/>
        <rFont val="Arial"/>
        <family val="2"/>
      </rPr>
      <t>2</t>
    </r>
  </si>
  <si>
    <r>
      <t>128.7218 km</t>
    </r>
    <r>
      <rPr>
        <vertAlign val="superscript"/>
        <sz val="8"/>
        <color theme="1"/>
        <rFont val="Arial"/>
        <family val="2"/>
      </rPr>
      <t>2</t>
    </r>
  </si>
  <si>
    <r>
      <t>127.6976 km</t>
    </r>
    <r>
      <rPr>
        <vertAlign val="superscript"/>
        <sz val="8"/>
        <color theme="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</si>
</sst>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8CCE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22" fontId="2" fillId="0" borderId="0" xfId="0" applyNumberFormat="1" applyFont="1" applyBorder="1" applyAlignment="1">
      <alignment wrapText="1"/>
    </xf>
    <xf numFmtId="14" fontId="2" fillId="0" borderId="0" xfId="0" applyNumberFormat="1" applyFont="1" applyBorder="1" applyAlignment="1">
      <alignment wrapText="1"/>
    </xf>
    <xf numFmtId="0" fontId="2" fillId="3" borderId="0" xfId="0" applyFont="1" applyFill="1" applyBorder="1" applyAlignment="1">
      <alignment wrapText="1"/>
    </xf>
    <xf numFmtId="22" fontId="2" fillId="3" borderId="0" xfId="0" applyNumberFormat="1" applyFont="1" applyFill="1" applyBorder="1" applyAlignment="1">
      <alignment wrapText="1"/>
    </xf>
    <xf numFmtId="14" fontId="2" fillId="3" borderId="0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6"/>
  <sheetViews>
    <sheetView showGridLines="0" tabSelected="1" workbookViewId="0"/>
  </sheetViews>
  <sheetFormatPr defaultRowHeight="11.25" x14ac:dyDescent="0.2"/>
  <cols>
    <col min="1" max="1" width="13.28515625" style="4" bestFit="1" customWidth="1"/>
    <col min="2" max="2" width="40.85546875" style="4" customWidth="1"/>
    <col min="3" max="3" width="4.5703125" style="4" bestFit="1" customWidth="1"/>
    <col min="4" max="4" width="33.7109375" style="4" customWidth="1"/>
    <col min="5" max="5" width="14.42578125" style="4" bestFit="1" customWidth="1"/>
    <col min="6" max="6" width="15.42578125" style="4" bestFit="1" customWidth="1"/>
    <col min="7" max="8" width="10.42578125" style="4" bestFit="1" customWidth="1"/>
    <col min="9" max="9" width="14" style="4" bestFit="1" customWidth="1"/>
    <col min="10" max="10" width="50.5703125" style="4" bestFit="1" customWidth="1"/>
    <col min="11" max="16384" width="9.140625" style="4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">
      <c r="A2" s="1" t="str">
        <f>"8212-HQ-SML"</f>
        <v>8212-HQ-SML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38167.427083333336</v>
      </c>
      <c r="G2" s="7">
        <v>42591</v>
      </c>
      <c r="H2" s="7">
        <v>46242</v>
      </c>
      <c r="I2" s="5" t="s">
        <v>2217</v>
      </c>
      <c r="J2" s="5" t="str">
        <f>"Southern, Siavonga"</f>
        <v>Southern, Siavonga</v>
      </c>
    </row>
    <row r="3" spans="1:10" x14ac:dyDescent="0.2">
      <c r="A3" s="2" t="str">
        <f>"8347-HQ-LEL "</f>
        <v xml:space="preserve">8347-HQ-LEL </v>
      </c>
      <c r="B3" s="8" t="s">
        <v>14</v>
      </c>
      <c r="C3" s="8" t="s">
        <v>15</v>
      </c>
      <c r="D3" s="8" t="s">
        <v>16</v>
      </c>
      <c r="E3" s="8" t="s">
        <v>13</v>
      </c>
      <c r="F3" s="9">
        <v>38625.636805555558</v>
      </c>
      <c r="G3" s="10">
        <v>42494</v>
      </c>
      <c r="H3" s="10">
        <v>43954</v>
      </c>
      <c r="I3" s="8" t="s">
        <v>17</v>
      </c>
      <c r="J3" s="8" t="str">
        <f>"North Western, Mwinilunga"</f>
        <v>North Western, Mwinilunga</v>
      </c>
    </row>
    <row r="4" spans="1:10" x14ac:dyDescent="0.2">
      <c r="A4" s="1" t="str">
        <f>"8664-HQ-AMR"</f>
        <v>8664-HQ-AMR</v>
      </c>
      <c r="B4" s="5" t="s">
        <v>18</v>
      </c>
      <c r="C4" s="5" t="s">
        <v>19</v>
      </c>
      <c r="D4" s="5" t="s">
        <v>20</v>
      </c>
      <c r="E4" s="5" t="s">
        <v>13</v>
      </c>
      <c r="F4" s="6">
        <v>39037.703472222223</v>
      </c>
      <c r="G4" s="7">
        <v>42579</v>
      </c>
      <c r="H4" s="7">
        <v>43308</v>
      </c>
      <c r="I4" s="5" t="s">
        <v>21</v>
      </c>
      <c r="J4" s="5" t="str">
        <f>"Luapula, Mansa, Mulaye Farm"</f>
        <v>Luapula, Mansa, Mulaye Farm</v>
      </c>
    </row>
    <row r="5" spans="1:10" x14ac:dyDescent="0.2">
      <c r="A5" s="2" t="str">
        <f>"16605-HQ-SML"</f>
        <v>16605-HQ-SML</v>
      </c>
      <c r="B5" s="8" t="s">
        <v>22</v>
      </c>
      <c r="C5" s="8" t="s">
        <v>11</v>
      </c>
      <c r="D5" s="8" t="s">
        <v>23</v>
      </c>
      <c r="E5" s="8" t="s">
        <v>13</v>
      </c>
      <c r="F5" s="9">
        <v>40771.509722222225</v>
      </c>
      <c r="G5" s="10">
        <v>42521</v>
      </c>
      <c r="H5" s="10">
        <v>46172</v>
      </c>
      <c r="I5" s="8" t="s">
        <v>2218</v>
      </c>
      <c r="J5" s="8" t="str">
        <f>"North Western, Mwinilunga"</f>
        <v>North Western, Mwinilunga</v>
      </c>
    </row>
    <row r="6" spans="1:10" x14ac:dyDescent="0.2">
      <c r="A6" s="1" t="str">
        <f>"16771-HQ-SML"</f>
        <v>16771-HQ-SML</v>
      </c>
      <c r="B6" s="5" t="s">
        <v>24</v>
      </c>
      <c r="C6" s="5" t="s">
        <v>11</v>
      </c>
      <c r="D6" s="5" t="s">
        <v>25</v>
      </c>
      <c r="E6" s="5" t="s">
        <v>13</v>
      </c>
      <c r="F6" s="6">
        <v>40795.62777777778</v>
      </c>
      <c r="G6" s="7">
        <v>42608</v>
      </c>
      <c r="H6" s="7">
        <v>46259</v>
      </c>
      <c r="I6" s="5" t="s">
        <v>26</v>
      </c>
      <c r="J6" s="5" t="str">
        <f>"Eastern, Nyimba"</f>
        <v>Eastern, Nyimba</v>
      </c>
    </row>
    <row r="7" spans="1:10" x14ac:dyDescent="0.2">
      <c r="A7" s="2" t="str">
        <f>"16858-HQ-SML"</f>
        <v>16858-HQ-SML</v>
      </c>
      <c r="B7" s="8" t="s">
        <v>27</v>
      </c>
      <c r="C7" s="8" t="s">
        <v>11</v>
      </c>
      <c r="D7" s="8" t="s">
        <v>28</v>
      </c>
      <c r="E7" s="8" t="s">
        <v>13</v>
      </c>
      <c r="F7" s="9">
        <v>40819.468055555553</v>
      </c>
      <c r="G7" s="10">
        <v>42646</v>
      </c>
      <c r="H7" s="10">
        <v>46297</v>
      </c>
      <c r="I7" s="8" t="s">
        <v>29</v>
      </c>
      <c r="J7" s="8" t="str">
        <f>"Copperbelt, Kitwe"</f>
        <v>Copperbelt, Kitwe</v>
      </c>
    </row>
    <row r="8" spans="1:10" x14ac:dyDescent="0.2">
      <c r="A8" s="1" t="str">
        <f>"17368-HQ-LEL"</f>
        <v>17368-HQ-LEL</v>
      </c>
      <c r="B8" s="5" t="s">
        <v>30</v>
      </c>
      <c r="C8" s="5" t="s">
        <v>15</v>
      </c>
      <c r="D8" s="5" t="s">
        <v>31</v>
      </c>
      <c r="E8" s="5" t="s">
        <v>13</v>
      </c>
      <c r="F8" s="6">
        <v>41066.490972222222</v>
      </c>
      <c r="G8" s="7">
        <v>42563</v>
      </c>
      <c r="H8" s="7">
        <v>44023</v>
      </c>
      <c r="I8" s="5" t="s">
        <v>32</v>
      </c>
      <c r="J8" s="5" t="str">
        <f>"Copperbelt, Mpongwe"</f>
        <v>Copperbelt, Mpongwe</v>
      </c>
    </row>
    <row r="9" spans="1:10" x14ac:dyDescent="0.2">
      <c r="A9" s="2" t="str">
        <f>"17406-HQ-SEL"</f>
        <v>17406-HQ-SEL</v>
      </c>
      <c r="B9" s="8" t="s">
        <v>33</v>
      </c>
      <c r="C9" s="8" t="s">
        <v>34</v>
      </c>
      <c r="D9" s="8" t="s">
        <v>35</v>
      </c>
      <c r="E9" s="8" t="s">
        <v>13</v>
      </c>
      <c r="F9" s="9">
        <v>41066.552083333336</v>
      </c>
      <c r="G9" s="10">
        <v>42590</v>
      </c>
      <c r="H9" s="10">
        <v>44050</v>
      </c>
      <c r="I9" s="8" t="s">
        <v>2219</v>
      </c>
      <c r="J9" s="8" t="str">
        <f>"Copperbelt, Mufulira"</f>
        <v>Copperbelt, Mufulira</v>
      </c>
    </row>
    <row r="10" spans="1:10" x14ac:dyDescent="0.2">
      <c r="A10" s="1" t="str">
        <f>"17611-HQ-LML"</f>
        <v>17611-HQ-LML</v>
      </c>
      <c r="B10" s="5" t="s">
        <v>36</v>
      </c>
      <c r="C10" s="5" t="s">
        <v>37</v>
      </c>
      <c r="D10" s="5" t="s">
        <v>38</v>
      </c>
      <c r="E10" s="5" t="s">
        <v>13</v>
      </c>
      <c r="F10" s="6">
        <v>41080.42291666667</v>
      </c>
      <c r="G10" s="7">
        <v>42577</v>
      </c>
      <c r="H10" s="7">
        <v>51707</v>
      </c>
      <c r="I10" s="5" t="s">
        <v>2220</v>
      </c>
      <c r="J10" s="5" t="str">
        <f>"Southern, Sinazongwe"</f>
        <v>Southern, Sinazongwe</v>
      </c>
    </row>
    <row r="11" spans="1:10" x14ac:dyDescent="0.2">
      <c r="A11" s="2" t="str">
        <f>"18181-HQ-AMR"</f>
        <v>18181-HQ-AMR</v>
      </c>
      <c r="B11" s="8" t="s">
        <v>39</v>
      </c>
      <c r="C11" s="8" t="s">
        <v>19</v>
      </c>
      <c r="D11" s="8" t="s">
        <v>40</v>
      </c>
      <c r="E11" s="8" t="s">
        <v>13</v>
      </c>
      <c r="F11" s="9">
        <v>41192.527083333334</v>
      </c>
      <c r="G11" s="10">
        <v>42500</v>
      </c>
      <c r="H11" s="10">
        <v>43229</v>
      </c>
      <c r="I11" s="8" t="s">
        <v>41</v>
      </c>
      <c r="J11" s="8" t="str">
        <f>"Southern, Mazabuka"</f>
        <v>Southern, Mazabuka</v>
      </c>
    </row>
    <row r="12" spans="1:10" x14ac:dyDescent="0.2">
      <c r="A12" s="1" t="str">
        <f>"18289-HQ-SEL"</f>
        <v>18289-HQ-SEL</v>
      </c>
      <c r="B12" s="5" t="s">
        <v>42</v>
      </c>
      <c r="C12" s="5" t="s">
        <v>34</v>
      </c>
      <c r="D12" s="5" t="s">
        <v>43</v>
      </c>
      <c r="E12" s="5" t="s">
        <v>13</v>
      </c>
      <c r="F12" s="6">
        <v>41219.393750000003</v>
      </c>
      <c r="G12" s="7">
        <v>42538</v>
      </c>
      <c r="H12" s="7">
        <v>43998</v>
      </c>
      <c r="I12" s="5" t="s">
        <v>2221</v>
      </c>
      <c r="J12" s="5" t="str">
        <f>"Central, Chibombo"</f>
        <v>Central, Chibombo</v>
      </c>
    </row>
    <row r="13" spans="1:10" x14ac:dyDescent="0.2">
      <c r="A13" s="2" t="str">
        <f>"18537-HQ-SEL"</f>
        <v>18537-HQ-SEL</v>
      </c>
      <c r="B13" s="8" t="s">
        <v>44</v>
      </c>
      <c r="C13" s="8" t="s">
        <v>34</v>
      </c>
      <c r="D13" s="8" t="s">
        <v>45</v>
      </c>
      <c r="E13" s="8" t="s">
        <v>13</v>
      </c>
      <c r="F13" s="9">
        <v>41274.435416666667</v>
      </c>
      <c r="G13" s="10">
        <v>42478</v>
      </c>
      <c r="H13" s="10">
        <v>43938</v>
      </c>
      <c r="I13" s="8" t="s">
        <v>46</v>
      </c>
      <c r="J13" s="8" t="str">
        <f>"Lusaka, Chongwe"</f>
        <v>Lusaka, Chongwe</v>
      </c>
    </row>
    <row r="14" spans="1:10" x14ac:dyDescent="0.2">
      <c r="A14" s="1" t="str">
        <f>"18663-HQ-LEL"</f>
        <v>18663-HQ-LEL</v>
      </c>
      <c r="B14" s="5" t="s">
        <v>47</v>
      </c>
      <c r="C14" s="5" t="s">
        <v>15</v>
      </c>
      <c r="D14" s="5" t="s">
        <v>48</v>
      </c>
      <c r="E14" s="5" t="s">
        <v>13</v>
      </c>
      <c r="F14" s="6">
        <v>41309.422222222223</v>
      </c>
      <c r="G14" s="7">
        <v>42601</v>
      </c>
      <c r="H14" s="7">
        <v>44061</v>
      </c>
      <c r="I14" s="5" t="s">
        <v>49</v>
      </c>
      <c r="J14" s="5" t="str">
        <f>"Northern, Kaputa, Mporokoso"</f>
        <v>Northern, Kaputa, Mporokoso</v>
      </c>
    </row>
    <row r="15" spans="1:10" x14ac:dyDescent="0.2">
      <c r="A15" s="2" t="str">
        <f>"18805-HQ-SPP"</f>
        <v>18805-HQ-SPP</v>
      </c>
      <c r="B15" s="8" t="s">
        <v>50</v>
      </c>
      <c r="C15" s="8" t="s">
        <v>34</v>
      </c>
      <c r="D15" s="8" t="s">
        <v>51</v>
      </c>
      <c r="E15" s="8" t="s">
        <v>13</v>
      </c>
      <c r="F15" s="9">
        <v>41360.520138888889</v>
      </c>
      <c r="G15" s="10">
        <v>42500</v>
      </c>
      <c r="H15" s="10">
        <v>43960</v>
      </c>
      <c r="I15" s="8" t="s">
        <v>52</v>
      </c>
      <c r="J15" s="8" t="str">
        <f>"Central, Mkushi"</f>
        <v>Central, Mkushi</v>
      </c>
    </row>
    <row r="16" spans="1:10" x14ac:dyDescent="0.2">
      <c r="A16" s="1" t="str">
        <f>"18947-HQ-SML"</f>
        <v>18947-HQ-SML</v>
      </c>
      <c r="B16" s="5" t="s">
        <v>53</v>
      </c>
      <c r="C16" s="5" t="s">
        <v>11</v>
      </c>
      <c r="D16" s="5" t="s">
        <v>54</v>
      </c>
      <c r="E16" s="5" t="s">
        <v>55</v>
      </c>
      <c r="F16" s="6">
        <v>41418.467361111114</v>
      </c>
      <c r="G16" s="7">
        <v>42544</v>
      </c>
      <c r="H16" s="7">
        <v>46195</v>
      </c>
      <c r="I16" s="5" t="s">
        <v>56</v>
      </c>
      <c r="J16" s="5" t="str">
        <f>"Copperbelt, Masaiti, Ndola"</f>
        <v>Copperbelt, Masaiti, Ndola</v>
      </c>
    </row>
    <row r="17" spans="1:10" x14ac:dyDescent="0.2">
      <c r="A17" s="2" t="str">
        <f>"19035-HQ-LEL"</f>
        <v>19035-HQ-LEL</v>
      </c>
      <c r="B17" s="8" t="s">
        <v>57</v>
      </c>
      <c r="C17" s="8" t="s">
        <v>15</v>
      </c>
      <c r="D17" s="8" t="s">
        <v>58</v>
      </c>
      <c r="E17" s="8" t="s">
        <v>13</v>
      </c>
      <c r="F17" s="9">
        <v>41453.425000000003</v>
      </c>
      <c r="G17" s="10">
        <v>42720</v>
      </c>
      <c r="H17" s="10">
        <v>44180</v>
      </c>
      <c r="I17" s="8" t="s">
        <v>2222</v>
      </c>
      <c r="J17" s="8" t="str">
        <f>"North Western, Mwinilunga"</f>
        <v>North Western, Mwinilunga</v>
      </c>
    </row>
    <row r="18" spans="1:10" x14ac:dyDescent="0.2">
      <c r="A18" s="1" t="str">
        <f>"19346-HQ-SEL"</f>
        <v>19346-HQ-SEL</v>
      </c>
      <c r="B18" s="5" t="s">
        <v>59</v>
      </c>
      <c r="C18" s="5" t="s">
        <v>34</v>
      </c>
      <c r="D18" s="5" t="s">
        <v>60</v>
      </c>
      <c r="E18" s="5" t="s">
        <v>13</v>
      </c>
      <c r="F18" s="6">
        <v>41598.529861111114</v>
      </c>
      <c r="G18" s="7">
        <v>42724</v>
      </c>
      <c r="H18" s="7">
        <v>44184</v>
      </c>
      <c r="I18" s="5" t="s">
        <v>61</v>
      </c>
      <c r="J18" s="5" t="str">
        <f>"Central, Mumbwa"</f>
        <v>Central, Mumbwa</v>
      </c>
    </row>
    <row r="19" spans="1:10" x14ac:dyDescent="0.2">
      <c r="A19" s="2" t="str">
        <f>"19592-HQ-SEL"</f>
        <v>19592-HQ-SEL</v>
      </c>
      <c r="B19" s="8" t="s">
        <v>62</v>
      </c>
      <c r="C19" s="8" t="s">
        <v>34</v>
      </c>
      <c r="D19" s="8" t="s">
        <v>51</v>
      </c>
      <c r="E19" s="8" t="s">
        <v>13</v>
      </c>
      <c r="F19" s="9">
        <v>41724.400694444441</v>
      </c>
      <c r="G19" s="10">
        <v>42577</v>
      </c>
      <c r="H19" s="10">
        <v>44037</v>
      </c>
      <c r="I19" s="8" t="s">
        <v>63</v>
      </c>
      <c r="J19" s="8" t="str">
        <f>"North Western, Kasempa"</f>
        <v>North Western, Kasempa</v>
      </c>
    </row>
    <row r="20" spans="1:10" x14ac:dyDescent="0.2">
      <c r="A20" s="1" t="str">
        <f>"19688-HQ-SML"</f>
        <v>19688-HQ-SML</v>
      </c>
      <c r="B20" s="5" t="s">
        <v>64</v>
      </c>
      <c r="C20" s="5" t="s">
        <v>11</v>
      </c>
      <c r="D20" s="5" t="s">
        <v>65</v>
      </c>
      <c r="E20" s="5" t="s">
        <v>13</v>
      </c>
      <c r="F20" s="6">
        <v>41768.425694444442</v>
      </c>
      <c r="G20" s="7">
        <v>42487</v>
      </c>
      <c r="H20" s="7">
        <v>46138</v>
      </c>
      <c r="I20" s="5" t="s">
        <v>66</v>
      </c>
      <c r="J20" s="5" t="str">
        <f>"Central, Mkushi"</f>
        <v>Central, Mkushi</v>
      </c>
    </row>
    <row r="21" spans="1:10" x14ac:dyDescent="0.2">
      <c r="A21" s="2" t="str">
        <f>"19971-HQ-SEL"</f>
        <v>19971-HQ-SEL</v>
      </c>
      <c r="B21" s="8" t="s">
        <v>67</v>
      </c>
      <c r="C21" s="8" t="s">
        <v>34</v>
      </c>
      <c r="D21" s="8" t="s">
        <v>68</v>
      </c>
      <c r="E21" s="8" t="s">
        <v>13</v>
      </c>
      <c r="F21" s="9">
        <v>41893.467361111114</v>
      </c>
      <c r="G21" s="10">
        <v>42634</v>
      </c>
      <c r="H21" s="10">
        <v>44094</v>
      </c>
      <c r="I21" s="8" t="s">
        <v>69</v>
      </c>
      <c r="J21" s="8" t="str">
        <f>"Copperbelt, Lufwanyama"</f>
        <v>Copperbelt, Lufwanyama</v>
      </c>
    </row>
    <row r="22" spans="1:10" x14ac:dyDescent="0.2">
      <c r="A22" s="1" t="str">
        <f>"19972-HQ-AMR"</f>
        <v>19972-HQ-AMR</v>
      </c>
      <c r="B22" s="5" t="s">
        <v>70</v>
      </c>
      <c r="C22" s="5" t="s">
        <v>19</v>
      </c>
      <c r="D22" s="5" t="s">
        <v>71</v>
      </c>
      <c r="E22" s="5" t="s">
        <v>72</v>
      </c>
      <c r="F22" s="6">
        <v>41893.475694444445</v>
      </c>
      <c r="G22" s="7">
        <v>42500</v>
      </c>
      <c r="H22" s="7">
        <v>43229</v>
      </c>
      <c r="I22" s="5" t="s">
        <v>73</v>
      </c>
      <c r="J22" s="5" t="str">
        <f>"Central, Mkushi"</f>
        <v>Central, Mkushi</v>
      </c>
    </row>
    <row r="23" spans="1:10" x14ac:dyDescent="0.2">
      <c r="A23" s="2" t="str">
        <f>"19973-HQ-SEL"</f>
        <v>19973-HQ-SEL</v>
      </c>
      <c r="B23" s="8" t="s">
        <v>67</v>
      </c>
      <c r="C23" s="8" t="s">
        <v>34</v>
      </c>
      <c r="D23" s="8" t="s">
        <v>74</v>
      </c>
      <c r="E23" s="8" t="s">
        <v>13</v>
      </c>
      <c r="F23" s="9">
        <v>41893.509722222225</v>
      </c>
      <c r="G23" s="10">
        <v>42639</v>
      </c>
      <c r="H23" s="10">
        <v>44099</v>
      </c>
      <c r="I23" s="8" t="s">
        <v>75</v>
      </c>
      <c r="J23" s="8" t="str">
        <f>"Central, Mkushi"</f>
        <v>Central, Mkushi</v>
      </c>
    </row>
    <row r="24" spans="1:10" x14ac:dyDescent="0.2">
      <c r="A24" s="1" t="str">
        <f>"19994-HQ-SEL"</f>
        <v>19994-HQ-SEL</v>
      </c>
      <c r="B24" s="5" t="s">
        <v>76</v>
      </c>
      <c r="C24" s="5" t="s">
        <v>34</v>
      </c>
      <c r="D24" s="5" t="s">
        <v>58</v>
      </c>
      <c r="E24" s="5" t="s">
        <v>13</v>
      </c>
      <c r="F24" s="6">
        <v>41904.383333333331</v>
      </c>
      <c r="G24" s="7">
        <v>42464</v>
      </c>
      <c r="H24" s="7">
        <v>43924</v>
      </c>
      <c r="I24" s="5" t="s">
        <v>77</v>
      </c>
      <c r="J24" s="5" t="str">
        <f>"Central, Mumbwa"</f>
        <v>Central, Mumbwa</v>
      </c>
    </row>
    <row r="25" spans="1:10" x14ac:dyDescent="0.2">
      <c r="A25" s="2" t="str">
        <f>"20084-HQ-LEL"</f>
        <v>20084-HQ-LEL</v>
      </c>
      <c r="B25" s="8" t="s">
        <v>78</v>
      </c>
      <c r="C25" s="8" t="s">
        <v>15</v>
      </c>
      <c r="D25" s="8" t="s">
        <v>79</v>
      </c>
      <c r="E25" s="8" t="s">
        <v>13</v>
      </c>
      <c r="F25" s="9">
        <v>41929.411805555559</v>
      </c>
      <c r="G25" s="10">
        <v>42620</v>
      </c>
      <c r="H25" s="10">
        <v>44080</v>
      </c>
      <c r="I25" s="8" t="s">
        <v>80</v>
      </c>
      <c r="J25" s="8" t="str">
        <f>"North Western, Kasempa"</f>
        <v>North Western, Kasempa</v>
      </c>
    </row>
    <row r="26" spans="1:10" x14ac:dyDescent="0.2">
      <c r="A26" s="1" t="str">
        <f>"20101-HQ-SML"</f>
        <v>20101-HQ-SML</v>
      </c>
      <c r="B26" s="5" t="s">
        <v>81</v>
      </c>
      <c r="C26" s="5" t="s">
        <v>11</v>
      </c>
      <c r="D26" s="5" t="s">
        <v>82</v>
      </c>
      <c r="E26" s="5" t="s">
        <v>13</v>
      </c>
      <c r="F26" s="6">
        <v>41934.501388888886</v>
      </c>
      <c r="G26" s="7">
        <v>42474</v>
      </c>
      <c r="H26" s="7">
        <v>46125</v>
      </c>
      <c r="I26" s="5" t="s">
        <v>83</v>
      </c>
      <c r="J26" s="5" t="str">
        <f>"Western, Sesheke"</f>
        <v>Western, Sesheke</v>
      </c>
    </row>
    <row r="27" spans="1:10" x14ac:dyDescent="0.2">
      <c r="A27" s="2" t="str">
        <f>"20120-HQ-SML"</f>
        <v>20120-HQ-SML</v>
      </c>
      <c r="B27" s="8" t="s">
        <v>84</v>
      </c>
      <c r="C27" s="8" t="s">
        <v>11</v>
      </c>
      <c r="D27" s="8" t="s">
        <v>85</v>
      </c>
      <c r="E27" s="8" t="s">
        <v>55</v>
      </c>
      <c r="F27" s="9">
        <v>41948.455555555556</v>
      </c>
      <c r="G27" s="10">
        <v>42501</v>
      </c>
      <c r="H27" s="10">
        <v>46152</v>
      </c>
      <c r="I27" s="8" t="s">
        <v>86</v>
      </c>
      <c r="J27" s="8" t="str">
        <f>"Southern, Monze"</f>
        <v>Southern, Monze</v>
      </c>
    </row>
    <row r="28" spans="1:10" x14ac:dyDescent="0.2">
      <c r="A28" s="1" t="str">
        <f>"20121-HQ-SML"</f>
        <v>20121-HQ-SML</v>
      </c>
      <c r="B28" s="5" t="s">
        <v>87</v>
      </c>
      <c r="C28" s="5" t="s">
        <v>11</v>
      </c>
      <c r="D28" s="5" t="s">
        <v>85</v>
      </c>
      <c r="E28" s="5" t="s">
        <v>13</v>
      </c>
      <c r="F28" s="6">
        <v>41948.457638888889</v>
      </c>
      <c r="G28" s="7">
        <v>42424</v>
      </c>
      <c r="H28" s="7">
        <v>46076</v>
      </c>
      <c r="I28" s="5" t="s">
        <v>2223</v>
      </c>
      <c r="J28" s="5" t="str">
        <f>"Southern, Monze"</f>
        <v>Southern, Monze</v>
      </c>
    </row>
    <row r="29" spans="1:10" x14ac:dyDescent="0.2">
      <c r="A29" s="2" t="str">
        <f>"20125-HQ-SEL"</f>
        <v>20125-HQ-SEL</v>
      </c>
      <c r="B29" s="8" t="s">
        <v>88</v>
      </c>
      <c r="C29" s="8" t="s">
        <v>34</v>
      </c>
      <c r="D29" s="8" t="s">
        <v>89</v>
      </c>
      <c r="E29" s="8" t="s">
        <v>13</v>
      </c>
      <c r="F29" s="9">
        <v>41948.487500000003</v>
      </c>
      <c r="G29" s="10">
        <v>42530</v>
      </c>
      <c r="H29" s="10">
        <v>43990</v>
      </c>
      <c r="I29" s="8" t="s">
        <v>2224</v>
      </c>
      <c r="J29" s="8" t="str">
        <f>"Central, Mumbwa"</f>
        <v>Central, Mumbwa</v>
      </c>
    </row>
    <row r="30" spans="1:10" x14ac:dyDescent="0.2">
      <c r="A30" s="1" t="str">
        <f>"20135-HQ-LEL"</f>
        <v>20135-HQ-LEL</v>
      </c>
      <c r="B30" s="5" t="s">
        <v>90</v>
      </c>
      <c r="C30" s="5" t="s">
        <v>15</v>
      </c>
      <c r="D30" s="5" t="s">
        <v>91</v>
      </c>
      <c r="E30" s="5" t="s">
        <v>13</v>
      </c>
      <c r="F30" s="6">
        <v>41949.467361111114</v>
      </c>
      <c r="G30" s="7">
        <v>42447</v>
      </c>
      <c r="H30" s="7">
        <v>43907</v>
      </c>
      <c r="I30" s="5" t="s">
        <v>92</v>
      </c>
      <c r="J30" s="5" t="str">
        <f>"Central, Mkushi"</f>
        <v>Central, Mkushi</v>
      </c>
    </row>
    <row r="31" spans="1:10" x14ac:dyDescent="0.2">
      <c r="A31" s="2" t="str">
        <f>"20164-HQ-LEL"</f>
        <v>20164-HQ-LEL</v>
      </c>
      <c r="B31" s="8" t="s">
        <v>93</v>
      </c>
      <c r="C31" s="8" t="s">
        <v>15</v>
      </c>
      <c r="D31" s="8" t="s">
        <v>94</v>
      </c>
      <c r="E31" s="8" t="s">
        <v>13</v>
      </c>
      <c r="F31" s="9">
        <v>41967.375694444447</v>
      </c>
      <c r="G31" s="10">
        <v>42523</v>
      </c>
      <c r="H31" s="10">
        <v>43983</v>
      </c>
      <c r="I31" s="8" t="s">
        <v>95</v>
      </c>
      <c r="J31" s="8" t="str">
        <f>"Central, Chongwe, Mkushi; Lusaka, Chongwe"</f>
        <v>Central, Chongwe, Mkushi; Lusaka, Chongwe</v>
      </c>
    </row>
    <row r="32" spans="1:10" x14ac:dyDescent="0.2">
      <c r="A32" s="1" t="str">
        <f>"20191-HQ-AMR"</f>
        <v>20191-HQ-AMR</v>
      </c>
      <c r="B32" s="5" t="s">
        <v>96</v>
      </c>
      <c r="C32" s="5" t="s">
        <v>19</v>
      </c>
      <c r="D32" s="5" t="s">
        <v>97</v>
      </c>
      <c r="E32" s="5" t="s">
        <v>13</v>
      </c>
      <c r="F32" s="6">
        <v>41976.453472222223</v>
      </c>
      <c r="G32" s="7">
        <v>42486</v>
      </c>
      <c r="H32" s="7">
        <v>43215</v>
      </c>
      <c r="I32" s="5" t="s">
        <v>98</v>
      </c>
      <c r="J32" s="5" t="str">
        <f>"Southern, Mazabuka"</f>
        <v>Southern, Mazabuka</v>
      </c>
    </row>
    <row r="33" spans="1:10" x14ac:dyDescent="0.2">
      <c r="A33" s="2" t="str">
        <f>"20221-HQ-AMR"</f>
        <v>20221-HQ-AMR</v>
      </c>
      <c r="B33" s="8" t="s">
        <v>99</v>
      </c>
      <c r="C33" s="8" t="s">
        <v>19</v>
      </c>
      <c r="D33" s="8" t="s">
        <v>100</v>
      </c>
      <c r="E33" s="8" t="s">
        <v>13</v>
      </c>
      <c r="F33" s="9">
        <v>41988.535416666666</v>
      </c>
      <c r="G33" s="10">
        <v>42450</v>
      </c>
      <c r="H33" s="10">
        <v>43179</v>
      </c>
      <c r="I33" s="8" t="s">
        <v>2225</v>
      </c>
      <c r="J33" s="8" t="str">
        <f>"Southern, Kalomo"</f>
        <v>Southern, Kalomo</v>
      </c>
    </row>
    <row r="34" spans="1:10" x14ac:dyDescent="0.2">
      <c r="A34" s="1" t="str">
        <f>"20226-HQ-LEL"</f>
        <v>20226-HQ-LEL</v>
      </c>
      <c r="B34" s="5" t="s">
        <v>101</v>
      </c>
      <c r="C34" s="5" t="s">
        <v>15</v>
      </c>
      <c r="D34" s="5" t="s">
        <v>102</v>
      </c>
      <c r="E34" s="5" t="s">
        <v>13</v>
      </c>
      <c r="F34" s="6">
        <v>41989.494444444441</v>
      </c>
      <c r="G34" s="7">
        <v>42485</v>
      </c>
      <c r="H34" s="7">
        <v>43945</v>
      </c>
      <c r="I34" s="5" t="s">
        <v>103</v>
      </c>
      <c r="J34" s="5" t="str">
        <f>"Copperbelt, Chililabombwe, Chingola; North Western, Solwezi"</f>
        <v>Copperbelt, Chililabombwe, Chingola; North Western, Solwezi</v>
      </c>
    </row>
    <row r="35" spans="1:10" x14ac:dyDescent="0.2">
      <c r="A35" s="2" t="str">
        <f>"20244-HQ-LEL"</f>
        <v>20244-HQ-LEL</v>
      </c>
      <c r="B35" s="8" t="s">
        <v>104</v>
      </c>
      <c r="C35" s="8" t="s">
        <v>15</v>
      </c>
      <c r="D35" s="8" t="s">
        <v>105</v>
      </c>
      <c r="E35" s="8" t="s">
        <v>13</v>
      </c>
      <c r="F35" s="9">
        <v>42009.387499999997</v>
      </c>
      <c r="G35" s="10">
        <v>42495</v>
      </c>
      <c r="H35" s="10">
        <v>43955</v>
      </c>
      <c r="I35" s="8" t="s">
        <v>106</v>
      </c>
      <c r="J35" s="8" t="str">
        <f>"North Western, Mufumbwe; Western, Kaoma"</f>
        <v>North Western, Mufumbwe; Western, Kaoma</v>
      </c>
    </row>
    <row r="36" spans="1:10" ht="22.5" x14ac:dyDescent="0.2">
      <c r="A36" s="1" t="str">
        <f>"20282-HQ-LML"</f>
        <v>20282-HQ-LML</v>
      </c>
      <c r="B36" s="5" t="s">
        <v>107</v>
      </c>
      <c r="C36" s="5" t="s">
        <v>37</v>
      </c>
      <c r="D36" s="5" t="s">
        <v>102</v>
      </c>
      <c r="E36" s="5" t="s">
        <v>13</v>
      </c>
      <c r="F36" s="6">
        <v>42027.529166666667</v>
      </c>
      <c r="G36" s="7">
        <v>42395</v>
      </c>
      <c r="H36" s="7">
        <v>51526</v>
      </c>
      <c r="I36" s="5" t="s">
        <v>108</v>
      </c>
      <c r="J36" s="5" t="str">
        <f>"Eastern, Petauke"</f>
        <v>Eastern, Petauke</v>
      </c>
    </row>
    <row r="37" spans="1:10" x14ac:dyDescent="0.2">
      <c r="A37" s="2" t="str">
        <f>"20328-HQ-LEL"</f>
        <v>20328-HQ-LEL</v>
      </c>
      <c r="B37" s="8" t="s">
        <v>109</v>
      </c>
      <c r="C37" s="8" t="s">
        <v>15</v>
      </c>
      <c r="D37" s="8" t="s">
        <v>110</v>
      </c>
      <c r="E37" s="8" t="s">
        <v>13</v>
      </c>
      <c r="F37" s="9">
        <v>42061.490972222222</v>
      </c>
      <c r="G37" s="10">
        <v>42494</v>
      </c>
      <c r="H37" s="10">
        <v>43954</v>
      </c>
      <c r="I37" s="8" t="s">
        <v>2226</v>
      </c>
      <c r="J37" s="8" t="str">
        <f>"Central, Kabwe, Kapiri Mposhi"</f>
        <v>Central, Kabwe, Kapiri Mposhi</v>
      </c>
    </row>
    <row r="38" spans="1:10" x14ac:dyDescent="0.2">
      <c r="A38" s="1" t="str">
        <f>"20329-HQ-LEL"</f>
        <v>20329-HQ-LEL</v>
      </c>
      <c r="B38" s="5" t="s">
        <v>109</v>
      </c>
      <c r="C38" s="5" t="s">
        <v>15</v>
      </c>
      <c r="D38" s="5" t="s">
        <v>110</v>
      </c>
      <c r="E38" s="5" t="s">
        <v>13</v>
      </c>
      <c r="F38" s="6">
        <v>42061.492361111108</v>
      </c>
      <c r="G38" s="7">
        <v>42494</v>
      </c>
      <c r="H38" s="7">
        <v>43954</v>
      </c>
      <c r="I38" s="5" t="s">
        <v>111</v>
      </c>
      <c r="J38" s="5" t="str">
        <f>"North Western, Solwezi"</f>
        <v>North Western, Solwezi</v>
      </c>
    </row>
    <row r="39" spans="1:10" x14ac:dyDescent="0.2">
      <c r="A39" s="2" t="str">
        <f>"20350-HQ-LEL"</f>
        <v>20350-HQ-LEL</v>
      </c>
      <c r="B39" s="8" t="s">
        <v>112</v>
      </c>
      <c r="C39" s="8" t="s">
        <v>15</v>
      </c>
      <c r="D39" s="8" t="s">
        <v>113</v>
      </c>
      <c r="E39" s="8" t="s">
        <v>13</v>
      </c>
      <c r="F39" s="9">
        <v>42073.39166666667</v>
      </c>
      <c r="G39" s="10">
        <v>42478</v>
      </c>
      <c r="H39" s="10">
        <v>43938</v>
      </c>
      <c r="I39" s="8" t="s">
        <v>114</v>
      </c>
      <c r="J39" s="8" t="str">
        <f>"Luapula, Mwense"</f>
        <v>Luapula, Mwense</v>
      </c>
    </row>
    <row r="40" spans="1:10" x14ac:dyDescent="0.2">
      <c r="A40" s="1" t="str">
        <f>"20352-HQ-LEL"</f>
        <v>20352-HQ-LEL</v>
      </c>
      <c r="B40" s="5" t="s">
        <v>115</v>
      </c>
      <c r="C40" s="5" t="s">
        <v>15</v>
      </c>
      <c r="D40" s="5" t="s">
        <v>116</v>
      </c>
      <c r="E40" s="5" t="s">
        <v>13</v>
      </c>
      <c r="F40" s="6">
        <v>42073.631249999999</v>
      </c>
      <c r="G40" s="7">
        <v>42734</v>
      </c>
      <c r="H40" s="7">
        <v>44194</v>
      </c>
      <c r="I40" s="5" t="s">
        <v>117</v>
      </c>
      <c r="J40" s="5" t="str">
        <f>"North Western, Solwezi"</f>
        <v>North Western, Solwezi</v>
      </c>
    </row>
    <row r="41" spans="1:10" x14ac:dyDescent="0.2">
      <c r="A41" s="2" t="str">
        <f>"20367-HQ-LEL"</f>
        <v>20367-HQ-LEL</v>
      </c>
      <c r="B41" s="8" t="s">
        <v>93</v>
      </c>
      <c r="C41" s="8" t="s">
        <v>15</v>
      </c>
      <c r="D41" s="8" t="s">
        <v>118</v>
      </c>
      <c r="E41" s="8" t="s">
        <v>13</v>
      </c>
      <c r="F41" s="9">
        <v>42079.469444444447</v>
      </c>
      <c r="G41" s="10">
        <v>42467</v>
      </c>
      <c r="H41" s="10">
        <v>43927</v>
      </c>
      <c r="I41" s="8" t="s">
        <v>119</v>
      </c>
      <c r="J41" s="8" t="str">
        <f>"Central, Chibombo, Chongwe, Mkushi; Lusaka, Chongwe"</f>
        <v>Central, Chibombo, Chongwe, Mkushi; Lusaka, Chongwe</v>
      </c>
    </row>
    <row r="42" spans="1:10" x14ac:dyDescent="0.2">
      <c r="A42" s="1" t="str">
        <f>"20385-HQ-SEL"</f>
        <v>20385-HQ-SEL</v>
      </c>
      <c r="B42" s="5" t="s">
        <v>120</v>
      </c>
      <c r="C42" s="5" t="s">
        <v>34</v>
      </c>
      <c r="D42" s="5" t="s">
        <v>121</v>
      </c>
      <c r="E42" s="5" t="s">
        <v>13</v>
      </c>
      <c r="F42" s="6">
        <v>42087.431250000001</v>
      </c>
      <c r="G42" s="7">
        <v>42688</v>
      </c>
      <c r="H42" s="7">
        <v>44148</v>
      </c>
      <c r="I42" s="5" t="s">
        <v>122</v>
      </c>
      <c r="J42" s="5" t="str">
        <f>"Copperbelt, Masaiti, Ndola"</f>
        <v>Copperbelt, Masaiti, Ndola</v>
      </c>
    </row>
    <row r="43" spans="1:10" x14ac:dyDescent="0.2">
      <c r="A43" s="2" t="str">
        <f>"20396-HQ-LEL"</f>
        <v>20396-HQ-LEL</v>
      </c>
      <c r="B43" s="8" t="s">
        <v>123</v>
      </c>
      <c r="C43" s="8" t="s">
        <v>15</v>
      </c>
      <c r="D43" s="8" t="s">
        <v>124</v>
      </c>
      <c r="E43" s="8" t="s">
        <v>13</v>
      </c>
      <c r="F43" s="9">
        <v>42089.509027777778</v>
      </c>
      <c r="G43" s="10">
        <v>42523</v>
      </c>
      <c r="H43" s="10">
        <v>43983</v>
      </c>
      <c r="I43" s="8" t="s">
        <v>125</v>
      </c>
      <c r="J43" s="8" t="str">
        <f>"Central, Mumbwa; Lusaka, Kafue"</f>
        <v>Central, Mumbwa; Lusaka, Kafue</v>
      </c>
    </row>
    <row r="44" spans="1:10" x14ac:dyDescent="0.2">
      <c r="A44" s="1" t="str">
        <f>"20398-HQ-SEL"</f>
        <v>20398-HQ-SEL</v>
      </c>
      <c r="B44" s="5" t="s">
        <v>120</v>
      </c>
      <c r="C44" s="5" t="s">
        <v>34</v>
      </c>
      <c r="D44" s="5" t="s">
        <v>126</v>
      </c>
      <c r="E44" s="5" t="s">
        <v>13</v>
      </c>
      <c r="F44" s="6">
        <v>42090.409722222219</v>
      </c>
      <c r="G44" s="7">
        <v>42688</v>
      </c>
      <c r="H44" s="7">
        <v>44148</v>
      </c>
      <c r="I44" s="5" t="s">
        <v>127</v>
      </c>
      <c r="J44" s="5" t="str">
        <f>"Copperbelt, Masaiti, Ndola"</f>
        <v>Copperbelt, Masaiti, Ndola</v>
      </c>
    </row>
    <row r="45" spans="1:10" x14ac:dyDescent="0.2">
      <c r="A45" s="2" t="str">
        <f>"20400-HQ-LEL"</f>
        <v>20400-HQ-LEL</v>
      </c>
      <c r="B45" s="8" t="s">
        <v>128</v>
      </c>
      <c r="C45" s="8" t="s">
        <v>15</v>
      </c>
      <c r="D45" s="8" t="s">
        <v>102</v>
      </c>
      <c r="E45" s="8" t="s">
        <v>13</v>
      </c>
      <c r="F45" s="9">
        <v>42090.500694444447</v>
      </c>
      <c r="G45" s="10">
        <v>42499</v>
      </c>
      <c r="H45" s="10">
        <v>43959</v>
      </c>
      <c r="I45" s="8" t="s">
        <v>129</v>
      </c>
      <c r="J45" s="8" t="str">
        <f>"Central, Kapiri Mposhi"</f>
        <v>Central, Kapiri Mposhi</v>
      </c>
    </row>
    <row r="46" spans="1:10" x14ac:dyDescent="0.2">
      <c r="A46" s="1" t="str">
        <f>"20409-HQ-LEL"</f>
        <v>20409-HQ-LEL</v>
      </c>
      <c r="B46" s="5" t="s">
        <v>130</v>
      </c>
      <c r="C46" s="5" t="s">
        <v>15</v>
      </c>
      <c r="D46" s="5" t="s">
        <v>102</v>
      </c>
      <c r="E46" s="5" t="s">
        <v>13</v>
      </c>
      <c r="F46" s="6">
        <v>42094.518750000003</v>
      </c>
      <c r="G46" s="7">
        <v>42482</v>
      </c>
      <c r="H46" s="7">
        <v>43942</v>
      </c>
      <c r="I46" s="5" t="s">
        <v>131</v>
      </c>
      <c r="J46" s="5" t="str">
        <f>"Central, Chibombo, Kapiri Mposhi, Mumbwa"</f>
        <v>Central, Chibombo, Kapiri Mposhi, Mumbwa</v>
      </c>
    </row>
    <row r="47" spans="1:10" x14ac:dyDescent="0.2">
      <c r="A47" s="2" t="str">
        <f>"20414-HQ-LEL"</f>
        <v>20414-HQ-LEL</v>
      </c>
      <c r="B47" s="8" t="s">
        <v>132</v>
      </c>
      <c r="C47" s="8" t="s">
        <v>15</v>
      </c>
      <c r="D47" s="8" t="s">
        <v>133</v>
      </c>
      <c r="E47" s="8" t="s">
        <v>13</v>
      </c>
      <c r="F47" s="9">
        <v>42096.382638888892</v>
      </c>
      <c r="G47" s="10">
        <v>42503</v>
      </c>
      <c r="H47" s="10">
        <v>43963</v>
      </c>
      <c r="I47" s="8" t="s">
        <v>134</v>
      </c>
      <c r="J47" s="8" t="str">
        <f>"Eastern, Chama; Northern, Isoka"</f>
        <v>Eastern, Chama; Northern, Isoka</v>
      </c>
    </row>
    <row r="48" spans="1:10" x14ac:dyDescent="0.2">
      <c r="A48" s="1" t="str">
        <f>"20419-HQ-LEL"</f>
        <v>20419-HQ-LEL</v>
      </c>
      <c r="B48" s="5" t="s">
        <v>132</v>
      </c>
      <c r="C48" s="5" t="s">
        <v>15</v>
      </c>
      <c r="D48" s="5" t="s">
        <v>133</v>
      </c>
      <c r="E48" s="5" t="s">
        <v>13</v>
      </c>
      <c r="F48" s="6">
        <v>42096.520833333336</v>
      </c>
      <c r="G48" s="7">
        <v>42503</v>
      </c>
      <c r="H48" s="7">
        <v>43963</v>
      </c>
      <c r="I48" s="5" t="s">
        <v>135</v>
      </c>
      <c r="J48" s="5" t="str">
        <f>"Eastern, Chama; Northern, Isoka"</f>
        <v>Eastern, Chama; Northern, Isoka</v>
      </c>
    </row>
    <row r="49" spans="1:10" x14ac:dyDescent="0.2">
      <c r="A49" s="2" t="str">
        <f>"20426-HQ-LEL"</f>
        <v>20426-HQ-LEL</v>
      </c>
      <c r="B49" s="8" t="s">
        <v>136</v>
      </c>
      <c r="C49" s="8" t="s">
        <v>15</v>
      </c>
      <c r="D49" s="8" t="s">
        <v>137</v>
      </c>
      <c r="E49" s="8" t="s">
        <v>138</v>
      </c>
      <c r="F49" s="9">
        <v>42102.397222222222</v>
      </c>
      <c r="G49" s="10">
        <v>42438</v>
      </c>
      <c r="H49" s="10">
        <v>43898</v>
      </c>
      <c r="I49" s="8" t="s">
        <v>139</v>
      </c>
      <c r="J49" s="8" t="str">
        <f>"Copperbelt, Lufwanyama"</f>
        <v>Copperbelt, Lufwanyama</v>
      </c>
    </row>
    <row r="50" spans="1:10" x14ac:dyDescent="0.2">
      <c r="A50" s="1" t="str">
        <f>"20436-HQ-LEL"</f>
        <v>20436-HQ-LEL</v>
      </c>
      <c r="B50" s="5" t="s">
        <v>140</v>
      </c>
      <c r="C50" s="5" t="s">
        <v>15</v>
      </c>
      <c r="D50" s="5" t="s">
        <v>141</v>
      </c>
      <c r="E50" s="5" t="s">
        <v>13</v>
      </c>
      <c r="F50" s="6">
        <v>42109.461111111108</v>
      </c>
      <c r="G50" s="7">
        <v>42461</v>
      </c>
      <c r="H50" s="7">
        <v>43921</v>
      </c>
      <c r="I50" s="5" t="s">
        <v>142</v>
      </c>
      <c r="J50" s="5" t="str">
        <f>"North Western, Kasempa"</f>
        <v>North Western, Kasempa</v>
      </c>
    </row>
    <row r="51" spans="1:10" x14ac:dyDescent="0.2">
      <c r="A51" s="2" t="str">
        <f>"20447-HQ-LEL"</f>
        <v>20447-HQ-LEL</v>
      </c>
      <c r="B51" s="8" t="s">
        <v>143</v>
      </c>
      <c r="C51" s="8" t="s">
        <v>15</v>
      </c>
      <c r="D51" s="8" t="s">
        <v>144</v>
      </c>
      <c r="E51" s="8" t="s">
        <v>13</v>
      </c>
      <c r="F51" s="9">
        <v>42111.520138888889</v>
      </c>
      <c r="G51" s="10">
        <v>42466</v>
      </c>
      <c r="H51" s="10">
        <v>43926</v>
      </c>
      <c r="I51" s="8" t="s">
        <v>145</v>
      </c>
      <c r="J51" s="8" t="str">
        <f>"Southern, Choma, Sinazongwe"</f>
        <v>Southern, Choma, Sinazongwe</v>
      </c>
    </row>
    <row r="52" spans="1:10" ht="22.5" x14ac:dyDescent="0.2">
      <c r="A52" s="1" t="str">
        <f>"20450-HQ-SEL"</f>
        <v>20450-HQ-SEL</v>
      </c>
      <c r="B52" s="5" t="s">
        <v>146</v>
      </c>
      <c r="C52" s="5" t="s">
        <v>34</v>
      </c>
      <c r="D52" s="5" t="s">
        <v>147</v>
      </c>
      <c r="E52" s="5" t="s">
        <v>13</v>
      </c>
      <c r="F52" s="6">
        <v>42111.524305555555</v>
      </c>
      <c r="G52" s="7">
        <v>42467</v>
      </c>
      <c r="H52" s="7">
        <v>43927</v>
      </c>
      <c r="I52" s="5" t="s">
        <v>148</v>
      </c>
      <c r="J52" s="5" t="str">
        <f>"Lusaka, Kafue"</f>
        <v>Lusaka, Kafue</v>
      </c>
    </row>
    <row r="53" spans="1:10" x14ac:dyDescent="0.2">
      <c r="A53" s="2" t="str">
        <f>"20461-HQ-SEL"</f>
        <v>20461-HQ-SEL</v>
      </c>
      <c r="B53" s="8" t="s">
        <v>149</v>
      </c>
      <c r="C53" s="8" t="s">
        <v>34</v>
      </c>
      <c r="D53" s="8" t="s">
        <v>150</v>
      </c>
      <c r="E53" s="8" t="s">
        <v>13</v>
      </c>
      <c r="F53" s="9">
        <v>42118.427083333336</v>
      </c>
      <c r="G53" s="10">
        <v>42424</v>
      </c>
      <c r="H53" s="10">
        <v>43884</v>
      </c>
      <c r="I53" s="8" t="s">
        <v>151</v>
      </c>
      <c r="J53" s="8" t="str">
        <f>"Copperbelt, Kalulushi"</f>
        <v>Copperbelt, Kalulushi</v>
      </c>
    </row>
    <row r="54" spans="1:10" x14ac:dyDescent="0.2">
      <c r="A54" s="1" t="str">
        <f>"20472-HQ-LEL"</f>
        <v>20472-HQ-LEL</v>
      </c>
      <c r="B54" s="5" t="s">
        <v>152</v>
      </c>
      <c r="C54" s="5" t="s">
        <v>15</v>
      </c>
      <c r="D54" s="5" t="s">
        <v>153</v>
      </c>
      <c r="E54" s="5" t="s">
        <v>13</v>
      </c>
      <c r="F54" s="6">
        <v>42122.417361111111</v>
      </c>
      <c r="G54" s="7">
        <v>42716</v>
      </c>
      <c r="H54" s="7">
        <v>44176</v>
      </c>
      <c r="I54" s="5" t="s">
        <v>154</v>
      </c>
      <c r="J54" s="5" t="str">
        <f>"Central, Mkushi; Copperbelt, Masaiti, Mkushi"</f>
        <v>Central, Mkushi; Copperbelt, Masaiti, Mkushi</v>
      </c>
    </row>
    <row r="55" spans="1:10" x14ac:dyDescent="0.2">
      <c r="A55" s="2" t="str">
        <f>"20483-HQ-SEL"</f>
        <v>20483-HQ-SEL</v>
      </c>
      <c r="B55" s="8" t="s">
        <v>155</v>
      </c>
      <c r="C55" s="8" t="s">
        <v>34</v>
      </c>
      <c r="D55" s="8" t="s">
        <v>156</v>
      </c>
      <c r="E55" s="8" t="s">
        <v>13</v>
      </c>
      <c r="F55" s="9">
        <v>42124.525000000001</v>
      </c>
      <c r="G55" s="10">
        <v>42501</v>
      </c>
      <c r="H55" s="10">
        <v>43961</v>
      </c>
      <c r="I55" s="8" t="s">
        <v>157</v>
      </c>
      <c r="J55" s="8" t="str">
        <f>"Central, Serenje"</f>
        <v>Central, Serenje</v>
      </c>
    </row>
    <row r="56" spans="1:10" ht="22.5" x14ac:dyDescent="0.2">
      <c r="A56" s="1" t="str">
        <f>"20503-HQ-LEL"</f>
        <v>20503-HQ-LEL</v>
      </c>
      <c r="B56" s="5" t="s">
        <v>158</v>
      </c>
      <c r="C56" s="5" t="s">
        <v>15</v>
      </c>
      <c r="D56" s="5" t="s">
        <v>159</v>
      </c>
      <c r="E56" s="5" t="s">
        <v>13</v>
      </c>
      <c r="F56" s="6">
        <v>42132.520833333336</v>
      </c>
      <c r="G56" s="7">
        <v>42510</v>
      </c>
      <c r="H56" s="7">
        <v>43970</v>
      </c>
      <c r="I56" s="5" t="s">
        <v>160</v>
      </c>
      <c r="J56" s="5" t="str">
        <f>"Western, Sesheke"</f>
        <v>Western, Sesheke</v>
      </c>
    </row>
    <row r="57" spans="1:10" x14ac:dyDescent="0.2">
      <c r="A57" s="2" t="str">
        <f>"20509-HQ-LEL"</f>
        <v>20509-HQ-LEL</v>
      </c>
      <c r="B57" s="8" t="s">
        <v>161</v>
      </c>
      <c r="C57" s="8" t="s">
        <v>15</v>
      </c>
      <c r="D57" s="8" t="s">
        <v>162</v>
      </c>
      <c r="E57" s="8" t="s">
        <v>13</v>
      </c>
      <c r="F57" s="9">
        <v>42135.505555555559</v>
      </c>
      <c r="G57" s="10">
        <v>42683</v>
      </c>
      <c r="H57" s="10">
        <v>44143</v>
      </c>
      <c r="I57" s="8" t="s">
        <v>163</v>
      </c>
      <c r="J57" s="8" t="str">
        <f>"North Western, Mwinilunga"</f>
        <v>North Western, Mwinilunga</v>
      </c>
    </row>
    <row r="58" spans="1:10" x14ac:dyDescent="0.2">
      <c r="A58" s="1" t="str">
        <f>"20512-HQ-LEL"</f>
        <v>20512-HQ-LEL</v>
      </c>
      <c r="B58" s="5" t="s">
        <v>164</v>
      </c>
      <c r="C58" s="5" t="s">
        <v>15</v>
      </c>
      <c r="D58" s="5" t="s">
        <v>94</v>
      </c>
      <c r="E58" s="5" t="s">
        <v>13</v>
      </c>
      <c r="F58" s="6">
        <v>42136.463194444441</v>
      </c>
      <c r="G58" s="7">
        <v>42446</v>
      </c>
      <c r="H58" s="7">
        <v>43906</v>
      </c>
      <c r="I58" s="5" t="s">
        <v>165</v>
      </c>
      <c r="J58" s="5" t="str">
        <f>"Central, Chibombo, Kapiri Mposhi"</f>
        <v>Central, Chibombo, Kapiri Mposhi</v>
      </c>
    </row>
    <row r="59" spans="1:10" x14ac:dyDescent="0.2">
      <c r="A59" s="2" t="str">
        <f>"20520-HQ-LEL"</f>
        <v>20520-HQ-LEL</v>
      </c>
      <c r="B59" s="8" t="s">
        <v>166</v>
      </c>
      <c r="C59" s="8" t="s">
        <v>15</v>
      </c>
      <c r="D59" s="8" t="s">
        <v>167</v>
      </c>
      <c r="E59" s="8" t="s">
        <v>13</v>
      </c>
      <c r="F59" s="9">
        <v>42138.427777777775</v>
      </c>
      <c r="G59" s="10">
        <v>42527</v>
      </c>
      <c r="H59" s="10">
        <v>43987</v>
      </c>
      <c r="I59" s="8" t="s">
        <v>168</v>
      </c>
      <c r="J59" s="8" t="str">
        <f>"Central, Mkushi"</f>
        <v>Central, Mkushi</v>
      </c>
    </row>
    <row r="60" spans="1:10" x14ac:dyDescent="0.2">
      <c r="A60" s="1" t="str">
        <f>"20543-HQ-LEL"</f>
        <v>20543-HQ-LEL</v>
      </c>
      <c r="B60" s="5" t="s">
        <v>169</v>
      </c>
      <c r="C60" s="5" t="s">
        <v>15</v>
      </c>
      <c r="D60" s="5" t="s">
        <v>170</v>
      </c>
      <c r="E60" s="5" t="s">
        <v>13</v>
      </c>
      <c r="F60" s="6">
        <v>42151.383333333331</v>
      </c>
      <c r="G60" s="7">
        <v>42478</v>
      </c>
      <c r="H60" s="7">
        <v>43938</v>
      </c>
      <c r="I60" s="5" t="s">
        <v>171</v>
      </c>
      <c r="J60" s="5" t="str">
        <f>"Central, Chibombo"</f>
        <v>Central, Chibombo</v>
      </c>
    </row>
    <row r="61" spans="1:10" ht="22.5" x14ac:dyDescent="0.2">
      <c r="A61" s="2" t="str">
        <f>"20546-HQ-SEL"</f>
        <v>20546-HQ-SEL</v>
      </c>
      <c r="B61" s="8" t="s">
        <v>172</v>
      </c>
      <c r="C61" s="8" t="s">
        <v>34</v>
      </c>
      <c r="D61" s="8" t="s">
        <v>173</v>
      </c>
      <c r="E61" s="8" t="s">
        <v>13</v>
      </c>
      <c r="F61" s="9">
        <v>42151.461805555555</v>
      </c>
      <c r="G61" s="10">
        <v>42663</v>
      </c>
      <c r="H61" s="10">
        <v>44123</v>
      </c>
      <c r="I61" s="8" t="s">
        <v>174</v>
      </c>
      <c r="J61" s="8" t="str">
        <f>"Copperbelt, Mufulira"</f>
        <v>Copperbelt, Mufulira</v>
      </c>
    </row>
    <row r="62" spans="1:10" x14ac:dyDescent="0.2">
      <c r="A62" s="1" t="str">
        <f>"20550-HQ-SEL"</f>
        <v>20550-HQ-SEL</v>
      </c>
      <c r="B62" s="5" t="s">
        <v>175</v>
      </c>
      <c r="C62" s="5" t="s">
        <v>34</v>
      </c>
      <c r="D62" s="5" t="s">
        <v>176</v>
      </c>
      <c r="E62" s="5" t="s">
        <v>13</v>
      </c>
      <c r="F62" s="6">
        <v>42152.477777777778</v>
      </c>
      <c r="G62" s="7">
        <v>42587</v>
      </c>
      <c r="H62" s="7">
        <v>44047</v>
      </c>
      <c r="I62" s="5" t="s">
        <v>177</v>
      </c>
      <c r="J62" s="5" t="str">
        <f>"Southern, Kalomo"</f>
        <v>Southern, Kalomo</v>
      </c>
    </row>
    <row r="63" spans="1:10" ht="22.5" x14ac:dyDescent="0.2">
      <c r="A63" s="2" t="str">
        <f>"20553-HQ-LEL"</f>
        <v>20553-HQ-LEL</v>
      </c>
      <c r="B63" s="8" t="s">
        <v>178</v>
      </c>
      <c r="C63" s="8" t="s">
        <v>15</v>
      </c>
      <c r="D63" s="8" t="s">
        <v>179</v>
      </c>
      <c r="E63" s="8" t="s">
        <v>13</v>
      </c>
      <c r="F63" s="9">
        <v>42153.388194444444</v>
      </c>
      <c r="G63" s="10">
        <v>42467</v>
      </c>
      <c r="H63" s="10">
        <v>43927</v>
      </c>
      <c r="I63" s="8" t="s">
        <v>180</v>
      </c>
      <c r="J63" s="8" t="str">
        <f>"Eastern, Petauke"</f>
        <v>Eastern, Petauke</v>
      </c>
    </row>
    <row r="64" spans="1:10" x14ac:dyDescent="0.2">
      <c r="A64" s="1" t="str">
        <f>"20557-HQ-LEL"</f>
        <v>20557-HQ-LEL</v>
      </c>
      <c r="B64" s="5" t="s">
        <v>181</v>
      </c>
      <c r="C64" s="5" t="s">
        <v>15</v>
      </c>
      <c r="D64" s="5" t="s">
        <v>182</v>
      </c>
      <c r="E64" s="5" t="s">
        <v>13</v>
      </c>
      <c r="F64" s="6">
        <v>42156.447916666664</v>
      </c>
      <c r="G64" s="7">
        <v>42683</v>
      </c>
      <c r="H64" s="7">
        <v>44143</v>
      </c>
      <c r="I64" s="5" t="s">
        <v>183</v>
      </c>
      <c r="J64" s="5" t="str">
        <f>"Luapula, Samfya"</f>
        <v>Luapula, Samfya</v>
      </c>
    </row>
    <row r="65" spans="1:10" x14ac:dyDescent="0.2">
      <c r="A65" s="2" t="str">
        <f>"20559-HQ-AMR"</f>
        <v>20559-HQ-AMR</v>
      </c>
      <c r="B65" s="8" t="s">
        <v>184</v>
      </c>
      <c r="C65" s="8" t="s">
        <v>19</v>
      </c>
      <c r="D65" s="8" t="s">
        <v>185</v>
      </c>
      <c r="E65" s="8" t="s">
        <v>13</v>
      </c>
      <c r="F65" s="9">
        <v>42156.512499999997</v>
      </c>
      <c r="G65" s="10">
        <v>42525</v>
      </c>
      <c r="H65" s="10">
        <v>43254</v>
      </c>
      <c r="I65" s="8" t="s">
        <v>186</v>
      </c>
      <c r="J65" s="8" t="str">
        <f>"Central, Serenje"</f>
        <v>Central, Serenje</v>
      </c>
    </row>
    <row r="66" spans="1:10" x14ac:dyDescent="0.2">
      <c r="A66" s="1" t="str">
        <f>"20562-HQ-LEL"</f>
        <v>20562-HQ-LEL</v>
      </c>
      <c r="B66" s="5" t="s">
        <v>128</v>
      </c>
      <c r="C66" s="5" t="s">
        <v>15</v>
      </c>
      <c r="D66" s="5" t="s">
        <v>102</v>
      </c>
      <c r="E66" s="5" t="s">
        <v>13</v>
      </c>
      <c r="F66" s="6">
        <v>42158.40625</v>
      </c>
      <c r="G66" s="7">
        <v>42499</v>
      </c>
      <c r="H66" s="7">
        <v>43959</v>
      </c>
      <c r="I66" s="5" t="s">
        <v>187</v>
      </c>
      <c r="J66" s="5" t="str">
        <f>"North Western, Mwinilunga"</f>
        <v>North Western, Mwinilunga</v>
      </c>
    </row>
    <row r="67" spans="1:10" x14ac:dyDescent="0.2">
      <c r="A67" s="2" t="str">
        <f>"20574-HQ-SEL"</f>
        <v>20574-HQ-SEL</v>
      </c>
      <c r="B67" s="8" t="s">
        <v>188</v>
      </c>
      <c r="C67" s="8" t="s">
        <v>34</v>
      </c>
      <c r="D67" s="8" t="s">
        <v>189</v>
      </c>
      <c r="E67" s="8" t="s">
        <v>55</v>
      </c>
      <c r="F67" s="9">
        <v>42160.406944444447</v>
      </c>
      <c r="G67" s="10">
        <v>42488</v>
      </c>
      <c r="H67" s="10">
        <v>43948</v>
      </c>
      <c r="I67" s="8" t="s">
        <v>190</v>
      </c>
      <c r="J67" s="8" t="str">
        <f>"Central, Serenje"</f>
        <v>Central, Serenje</v>
      </c>
    </row>
    <row r="68" spans="1:10" x14ac:dyDescent="0.2">
      <c r="A68" s="1" t="str">
        <f>"20579-HQ-SEL"</f>
        <v>20579-HQ-SEL</v>
      </c>
      <c r="B68" s="5" t="s">
        <v>191</v>
      </c>
      <c r="C68" s="5" t="s">
        <v>34</v>
      </c>
      <c r="D68" s="5" t="s">
        <v>192</v>
      </c>
      <c r="E68" s="5" t="s">
        <v>13</v>
      </c>
      <c r="F68" s="6">
        <v>42165.420138888891</v>
      </c>
      <c r="G68" s="7">
        <v>42534</v>
      </c>
      <c r="H68" s="7">
        <v>43994</v>
      </c>
      <c r="I68" s="5" t="s">
        <v>193</v>
      </c>
      <c r="J68" s="5" t="str">
        <f>"Lusaka, Chongwe"</f>
        <v>Lusaka, Chongwe</v>
      </c>
    </row>
    <row r="69" spans="1:10" x14ac:dyDescent="0.2">
      <c r="A69" s="2" t="str">
        <f>"20583-HQ-LEL"</f>
        <v>20583-HQ-LEL</v>
      </c>
      <c r="B69" s="8" t="s">
        <v>194</v>
      </c>
      <c r="C69" s="8" t="s">
        <v>15</v>
      </c>
      <c r="D69" s="8" t="s">
        <v>195</v>
      </c>
      <c r="E69" s="8" t="s">
        <v>13</v>
      </c>
      <c r="F69" s="9">
        <v>42167.52847222222</v>
      </c>
      <c r="G69" s="10">
        <v>42523</v>
      </c>
      <c r="H69" s="10">
        <v>43983</v>
      </c>
      <c r="I69" s="8" t="s">
        <v>196</v>
      </c>
      <c r="J69" s="8" t="str">
        <f>"North Western, Mwinilunga, Solwezi"</f>
        <v>North Western, Mwinilunga, Solwezi</v>
      </c>
    </row>
    <row r="70" spans="1:10" x14ac:dyDescent="0.2">
      <c r="A70" s="1" t="str">
        <f>"20598-HQ-LEL"</f>
        <v>20598-HQ-LEL</v>
      </c>
      <c r="B70" s="5" t="s">
        <v>93</v>
      </c>
      <c r="C70" s="5" t="s">
        <v>15</v>
      </c>
      <c r="D70" s="5" t="s">
        <v>197</v>
      </c>
      <c r="E70" s="5" t="s">
        <v>13</v>
      </c>
      <c r="F70" s="6">
        <v>42177.481249999997</v>
      </c>
      <c r="G70" s="7">
        <v>42531</v>
      </c>
      <c r="H70" s="7">
        <v>43991</v>
      </c>
      <c r="I70" s="5" t="s">
        <v>198</v>
      </c>
      <c r="J70" s="5" t="str">
        <f>"Central, Chibombo"</f>
        <v>Central, Chibombo</v>
      </c>
    </row>
    <row r="71" spans="1:10" x14ac:dyDescent="0.2">
      <c r="A71" s="2" t="str">
        <f>"20607-HQ-SEL"</f>
        <v>20607-HQ-SEL</v>
      </c>
      <c r="B71" s="8" t="s">
        <v>199</v>
      </c>
      <c r="C71" s="8" t="s">
        <v>34</v>
      </c>
      <c r="D71" s="8" t="s">
        <v>200</v>
      </c>
      <c r="E71" s="8" t="s">
        <v>13</v>
      </c>
      <c r="F71" s="9">
        <v>42181.472222222219</v>
      </c>
      <c r="G71" s="10">
        <v>42478</v>
      </c>
      <c r="H71" s="10">
        <v>43938</v>
      </c>
      <c r="I71" s="8" t="s">
        <v>201</v>
      </c>
      <c r="J71" s="8" t="str">
        <f>"Central, Mumbwa"</f>
        <v>Central, Mumbwa</v>
      </c>
    </row>
    <row r="72" spans="1:10" x14ac:dyDescent="0.2">
      <c r="A72" s="1" t="str">
        <f>"20613-HQ-LEL"</f>
        <v>20613-HQ-LEL</v>
      </c>
      <c r="B72" s="5" t="s">
        <v>202</v>
      </c>
      <c r="C72" s="5" t="s">
        <v>15</v>
      </c>
      <c r="D72" s="5" t="s">
        <v>31</v>
      </c>
      <c r="E72" s="5" t="s">
        <v>13</v>
      </c>
      <c r="F72" s="6">
        <v>42185.456944444442</v>
      </c>
      <c r="G72" s="7">
        <v>42578</v>
      </c>
      <c r="H72" s="7">
        <v>44038</v>
      </c>
      <c r="I72" s="5" t="s">
        <v>203</v>
      </c>
      <c r="J72" s="5" t="str">
        <f>"North Western, Kasempa, Mufumbwe, Solwezi"</f>
        <v>North Western, Kasempa, Mufumbwe, Solwezi</v>
      </c>
    </row>
    <row r="73" spans="1:10" x14ac:dyDescent="0.2">
      <c r="A73" s="2" t="str">
        <f>"20622-HQ-LEL"</f>
        <v>20622-HQ-LEL</v>
      </c>
      <c r="B73" s="8" t="s">
        <v>204</v>
      </c>
      <c r="C73" s="8" t="s">
        <v>15</v>
      </c>
      <c r="D73" s="8" t="s">
        <v>205</v>
      </c>
      <c r="E73" s="8" t="s">
        <v>13</v>
      </c>
      <c r="F73" s="9">
        <v>42187.397916666669</v>
      </c>
      <c r="G73" s="10">
        <v>42704</v>
      </c>
      <c r="H73" s="10">
        <v>44164</v>
      </c>
      <c r="I73" s="8" t="s">
        <v>206</v>
      </c>
      <c r="J73" s="8" t="str">
        <f>"Luapula, Mwense"</f>
        <v>Luapula, Mwense</v>
      </c>
    </row>
    <row r="74" spans="1:10" x14ac:dyDescent="0.2">
      <c r="A74" s="1" t="str">
        <f>"20630-HQ-LEL"</f>
        <v>20630-HQ-LEL</v>
      </c>
      <c r="B74" s="5" t="s">
        <v>207</v>
      </c>
      <c r="C74" s="5" t="s">
        <v>15</v>
      </c>
      <c r="D74" s="5" t="s">
        <v>208</v>
      </c>
      <c r="E74" s="5" t="s">
        <v>13</v>
      </c>
      <c r="F74" s="6">
        <v>42195.411111111112</v>
      </c>
      <c r="G74" s="7">
        <v>42617</v>
      </c>
      <c r="H74" s="7">
        <v>44077</v>
      </c>
      <c r="I74" s="5" t="s">
        <v>209</v>
      </c>
      <c r="J74" s="5" t="str">
        <f>"Eastern, Petauke"</f>
        <v>Eastern, Petauke</v>
      </c>
    </row>
    <row r="75" spans="1:10" x14ac:dyDescent="0.2">
      <c r="A75" s="2" t="str">
        <f>"20631-HQ-LEL"</f>
        <v>20631-HQ-LEL</v>
      </c>
      <c r="B75" s="8" t="s">
        <v>210</v>
      </c>
      <c r="C75" s="8" t="s">
        <v>15</v>
      </c>
      <c r="D75" s="8" t="s">
        <v>211</v>
      </c>
      <c r="E75" s="8" t="s">
        <v>13</v>
      </c>
      <c r="F75" s="9">
        <v>42195.467361111114</v>
      </c>
      <c r="G75" s="10">
        <v>42537</v>
      </c>
      <c r="H75" s="10">
        <v>43997</v>
      </c>
      <c r="I75" s="8" t="s">
        <v>212</v>
      </c>
      <c r="J75" s="8" t="str">
        <f>"Southern, Sinazongwe"</f>
        <v>Southern, Sinazongwe</v>
      </c>
    </row>
    <row r="76" spans="1:10" x14ac:dyDescent="0.2">
      <c r="A76" s="1" t="str">
        <f>"20633-HQ-LEL"</f>
        <v>20633-HQ-LEL</v>
      </c>
      <c r="B76" s="5" t="s">
        <v>213</v>
      </c>
      <c r="C76" s="5" t="s">
        <v>15</v>
      </c>
      <c r="D76" s="5" t="s">
        <v>214</v>
      </c>
      <c r="E76" s="5" t="s">
        <v>13</v>
      </c>
      <c r="F76" s="6">
        <v>42195.498611111114</v>
      </c>
      <c r="G76" s="7">
        <v>42485</v>
      </c>
      <c r="H76" s="7">
        <v>43945</v>
      </c>
      <c r="I76" s="5" t="s">
        <v>2227</v>
      </c>
      <c r="J76" s="5" t="str">
        <f>"North Western, Mwinilunga, Solwezi"</f>
        <v>North Western, Mwinilunga, Solwezi</v>
      </c>
    </row>
    <row r="77" spans="1:10" x14ac:dyDescent="0.2">
      <c r="A77" s="2" t="str">
        <f>"20641-HQ-LEL"</f>
        <v>20641-HQ-LEL</v>
      </c>
      <c r="B77" s="8" t="s">
        <v>215</v>
      </c>
      <c r="C77" s="8" t="s">
        <v>15</v>
      </c>
      <c r="D77" s="8" t="s">
        <v>216</v>
      </c>
      <c r="E77" s="8" t="s">
        <v>13</v>
      </c>
      <c r="F77" s="9">
        <v>42202.477777777778</v>
      </c>
      <c r="G77" s="10">
        <v>42598</v>
      </c>
      <c r="H77" s="10">
        <v>44058</v>
      </c>
      <c r="I77" s="8" t="s">
        <v>217</v>
      </c>
      <c r="J77" s="8" t="str">
        <f>"Lusaka, Kafue, Lusaka"</f>
        <v>Lusaka, Kafue, Lusaka</v>
      </c>
    </row>
    <row r="78" spans="1:10" ht="22.5" x14ac:dyDescent="0.2">
      <c r="A78" s="1" t="str">
        <f>"20642-HQ-LEL"</f>
        <v>20642-HQ-LEL</v>
      </c>
      <c r="B78" s="5" t="s">
        <v>218</v>
      </c>
      <c r="C78" s="5" t="s">
        <v>15</v>
      </c>
      <c r="D78" s="5" t="s">
        <v>219</v>
      </c>
      <c r="E78" s="5" t="s">
        <v>13</v>
      </c>
      <c r="F78" s="6">
        <v>42202.532638888886</v>
      </c>
      <c r="G78" s="7">
        <v>42467</v>
      </c>
      <c r="H78" s="7">
        <v>43927</v>
      </c>
      <c r="I78" s="5" t="s">
        <v>220</v>
      </c>
      <c r="J78" s="5" t="str">
        <f>"North Western, Solwezi"</f>
        <v>North Western, Solwezi</v>
      </c>
    </row>
    <row r="79" spans="1:10" x14ac:dyDescent="0.2">
      <c r="A79" s="2" t="str">
        <f>"20643-HQ-SEL"</f>
        <v>20643-HQ-SEL</v>
      </c>
      <c r="B79" s="8" t="s">
        <v>221</v>
      </c>
      <c r="C79" s="8" t="s">
        <v>34</v>
      </c>
      <c r="D79" s="8" t="s">
        <v>222</v>
      </c>
      <c r="E79" s="8" t="s">
        <v>13</v>
      </c>
      <c r="F79" s="9">
        <v>42202.53402777778</v>
      </c>
      <c r="G79" s="10">
        <v>42513</v>
      </c>
      <c r="H79" s="10">
        <v>43973</v>
      </c>
      <c r="I79" s="8" t="s">
        <v>223</v>
      </c>
      <c r="J79" s="8" t="str">
        <f>"Lusaka, Kafue"</f>
        <v>Lusaka, Kafue</v>
      </c>
    </row>
    <row r="80" spans="1:10" x14ac:dyDescent="0.2">
      <c r="A80" s="1" t="str">
        <f>"20644-HQ-SEL"</f>
        <v>20644-HQ-SEL</v>
      </c>
      <c r="B80" s="5" t="s">
        <v>221</v>
      </c>
      <c r="C80" s="5" t="s">
        <v>34</v>
      </c>
      <c r="D80" s="5" t="s">
        <v>224</v>
      </c>
      <c r="E80" s="5" t="s">
        <v>13</v>
      </c>
      <c r="F80" s="6">
        <v>42202.535416666666</v>
      </c>
      <c r="G80" s="7">
        <v>42467</v>
      </c>
      <c r="H80" s="7">
        <v>43927</v>
      </c>
      <c r="I80" s="5" t="s">
        <v>225</v>
      </c>
      <c r="J80" s="5" t="str">
        <f>"Lusaka, Chongwe, Kafue"</f>
        <v>Lusaka, Chongwe, Kafue</v>
      </c>
    </row>
    <row r="81" spans="1:10" x14ac:dyDescent="0.2">
      <c r="A81" s="2" t="str">
        <f>"20645-HQ-SEL"</f>
        <v>20645-HQ-SEL</v>
      </c>
      <c r="B81" s="8" t="s">
        <v>221</v>
      </c>
      <c r="C81" s="8" t="s">
        <v>34</v>
      </c>
      <c r="D81" s="8" t="s">
        <v>224</v>
      </c>
      <c r="E81" s="8" t="s">
        <v>13</v>
      </c>
      <c r="F81" s="9">
        <v>42202.536805555559</v>
      </c>
      <c r="G81" s="10">
        <v>42513</v>
      </c>
      <c r="H81" s="10">
        <v>43973</v>
      </c>
      <c r="I81" s="8" t="s">
        <v>226</v>
      </c>
      <c r="J81" s="8" t="str">
        <f>"Lusaka, Chongwe"</f>
        <v>Lusaka, Chongwe</v>
      </c>
    </row>
    <row r="82" spans="1:10" x14ac:dyDescent="0.2">
      <c r="A82" s="1" t="str">
        <f>"20650-HQ-AMR"</f>
        <v>20650-HQ-AMR</v>
      </c>
      <c r="B82" s="5" t="s">
        <v>227</v>
      </c>
      <c r="C82" s="5" t="s">
        <v>19</v>
      </c>
      <c r="D82" s="5" t="s">
        <v>200</v>
      </c>
      <c r="E82" s="5" t="s">
        <v>72</v>
      </c>
      <c r="F82" s="6">
        <v>42206.456944444442</v>
      </c>
      <c r="G82" s="7">
        <v>42489</v>
      </c>
      <c r="H82" s="7">
        <v>43218</v>
      </c>
      <c r="I82" s="5" t="s">
        <v>228</v>
      </c>
      <c r="J82" s="5" t="str">
        <f>"Eastern, Nyimba"</f>
        <v>Eastern, Nyimba</v>
      </c>
    </row>
    <row r="83" spans="1:10" x14ac:dyDescent="0.2">
      <c r="A83" s="2" t="str">
        <f>"20652-HQ-SEL"</f>
        <v>20652-HQ-SEL</v>
      </c>
      <c r="B83" s="8" t="s">
        <v>229</v>
      </c>
      <c r="C83" s="8" t="s">
        <v>34</v>
      </c>
      <c r="D83" s="8" t="s">
        <v>230</v>
      </c>
      <c r="E83" s="8" t="s">
        <v>13</v>
      </c>
      <c r="F83" s="9">
        <v>42206.495833333334</v>
      </c>
      <c r="G83" s="10">
        <v>42551</v>
      </c>
      <c r="H83" s="10">
        <v>44011</v>
      </c>
      <c r="I83" s="8" t="s">
        <v>231</v>
      </c>
      <c r="J83" s="8" t="str">
        <f>"Copperbelt, Chililabombwe, Mufulira"</f>
        <v>Copperbelt, Chililabombwe, Mufulira</v>
      </c>
    </row>
    <row r="84" spans="1:10" x14ac:dyDescent="0.2">
      <c r="A84" s="1" t="str">
        <f>"20662-HQ-SEL"</f>
        <v>20662-HQ-SEL</v>
      </c>
      <c r="B84" s="5" t="s">
        <v>232</v>
      </c>
      <c r="C84" s="5" t="s">
        <v>34</v>
      </c>
      <c r="D84" s="5" t="s">
        <v>233</v>
      </c>
      <c r="E84" s="5" t="s">
        <v>13</v>
      </c>
      <c r="F84" s="6">
        <v>42209.499305555553</v>
      </c>
      <c r="G84" s="7">
        <v>42471</v>
      </c>
      <c r="H84" s="7">
        <v>43931</v>
      </c>
      <c r="I84" s="5" t="s">
        <v>234</v>
      </c>
      <c r="J84" s="5" t="str">
        <f>"Lusaka, Chongwe"</f>
        <v>Lusaka, Chongwe</v>
      </c>
    </row>
    <row r="85" spans="1:10" x14ac:dyDescent="0.2">
      <c r="A85" s="2" t="str">
        <f>"20663-HQ-SEL"</f>
        <v>20663-HQ-SEL</v>
      </c>
      <c r="B85" s="8" t="s">
        <v>232</v>
      </c>
      <c r="C85" s="8" t="s">
        <v>34</v>
      </c>
      <c r="D85" s="8" t="s">
        <v>233</v>
      </c>
      <c r="E85" s="8" t="s">
        <v>13</v>
      </c>
      <c r="F85" s="9">
        <v>42209.502083333333</v>
      </c>
      <c r="G85" s="10">
        <v>42471</v>
      </c>
      <c r="H85" s="10">
        <v>43931</v>
      </c>
      <c r="I85" s="8" t="s">
        <v>235</v>
      </c>
      <c r="J85" s="8" t="str">
        <f>"Central, Mumbwa"</f>
        <v>Central, Mumbwa</v>
      </c>
    </row>
    <row r="86" spans="1:10" ht="22.5" x14ac:dyDescent="0.2">
      <c r="A86" s="1" t="str">
        <f>"20666-HQ-LEL"</f>
        <v>20666-HQ-LEL</v>
      </c>
      <c r="B86" s="5" t="s">
        <v>236</v>
      </c>
      <c r="C86" s="5" t="s">
        <v>15</v>
      </c>
      <c r="D86" s="5" t="s">
        <v>237</v>
      </c>
      <c r="E86" s="5" t="s">
        <v>13</v>
      </c>
      <c r="F86" s="6">
        <v>42214.493055555555</v>
      </c>
      <c r="G86" s="7">
        <v>42727</v>
      </c>
      <c r="H86" s="7">
        <v>44187</v>
      </c>
      <c r="I86" s="5" t="s">
        <v>238</v>
      </c>
      <c r="J86" s="5" t="str">
        <f>"Copperbelt, Chililabombwe, Chingola, Mufulira"</f>
        <v>Copperbelt, Chililabombwe, Chingola, Mufulira</v>
      </c>
    </row>
    <row r="87" spans="1:10" x14ac:dyDescent="0.2">
      <c r="A87" s="2" t="str">
        <f>"20670-HQ-LEL"</f>
        <v>20670-HQ-LEL</v>
      </c>
      <c r="B87" s="8" t="s">
        <v>239</v>
      </c>
      <c r="C87" s="8" t="s">
        <v>15</v>
      </c>
      <c r="D87" s="8" t="s">
        <v>240</v>
      </c>
      <c r="E87" s="8" t="s">
        <v>13</v>
      </c>
      <c r="F87" s="9">
        <v>42215.467361111114</v>
      </c>
      <c r="G87" s="10">
        <v>42534</v>
      </c>
      <c r="H87" s="10">
        <v>43994</v>
      </c>
      <c r="I87" s="8" t="s">
        <v>241</v>
      </c>
      <c r="J87" s="8" t="str">
        <f>"Central, Chibombo, Mumbwa"</f>
        <v>Central, Chibombo, Mumbwa</v>
      </c>
    </row>
    <row r="88" spans="1:10" x14ac:dyDescent="0.2">
      <c r="A88" s="1" t="str">
        <f>"20671-HQ-LEL"</f>
        <v>20671-HQ-LEL</v>
      </c>
      <c r="B88" s="5" t="s">
        <v>242</v>
      </c>
      <c r="C88" s="5" t="s">
        <v>15</v>
      </c>
      <c r="D88" s="5" t="s">
        <v>38</v>
      </c>
      <c r="E88" s="5" t="s">
        <v>13</v>
      </c>
      <c r="F88" s="6">
        <v>42215.474305555559</v>
      </c>
      <c r="G88" s="7">
        <v>42534</v>
      </c>
      <c r="H88" s="7">
        <v>43994</v>
      </c>
      <c r="I88" s="5" t="s">
        <v>243</v>
      </c>
      <c r="J88" s="5" t="str">
        <f>"Southern, Choma, Kalomo, Sinazongwe"</f>
        <v>Southern, Choma, Kalomo, Sinazongwe</v>
      </c>
    </row>
    <row r="89" spans="1:10" ht="22.5" x14ac:dyDescent="0.2">
      <c r="A89" s="2" t="str">
        <f>"20673-HQ-LEL"</f>
        <v>20673-HQ-LEL</v>
      </c>
      <c r="B89" s="8" t="s">
        <v>239</v>
      </c>
      <c r="C89" s="8" t="s">
        <v>15</v>
      </c>
      <c r="D89" s="8" t="s">
        <v>219</v>
      </c>
      <c r="E89" s="8" t="s">
        <v>13</v>
      </c>
      <c r="F89" s="9">
        <v>42215.470833333333</v>
      </c>
      <c r="G89" s="10">
        <v>42473</v>
      </c>
      <c r="H89" s="10">
        <v>43933</v>
      </c>
      <c r="I89" s="8" t="s">
        <v>244</v>
      </c>
      <c r="J89" s="8" t="str">
        <f>"Lusaka, Chongwe, Luangwa"</f>
        <v>Lusaka, Chongwe, Luangwa</v>
      </c>
    </row>
    <row r="90" spans="1:10" ht="22.5" x14ac:dyDescent="0.2">
      <c r="A90" s="1" t="str">
        <f>"20674-HQ-LEL"</f>
        <v>20674-HQ-LEL</v>
      </c>
      <c r="B90" s="5" t="s">
        <v>245</v>
      </c>
      <c r="C90" s="5" t="s">
        <v>15</v>
      </c>
      <c r="D90" s="5" t="s">
        <v>246</v>
      </c>
      <c r="E90" s="5" t="s">
        <v>13</v>
      </c>
      <c r="F90" s="6">
        <v>42215.484027777777</v>
      </c>
      <c r="G90" s="7">
        <v>42473</v>
      </c>
      <c r="H90" s="7">
        <v>43933</v>
      </c>
      <c r="I90" s="5" t="s">
        <v>247</v>
      </c>
      <c r="J90" s="5" t="str">
        <f>"Central, Kapiri Mposhi, Mkushi"</f>
        <v>Central, Kapiri Mposhi, Mkushi</v>
      </c>
    </row>
    <row r="91" spans="1:10" ht="22.5" x14ac:dyDescent="0.2">
      <c r="A91" s="2" t="str">
        <f>"20675-HQ-LEL"</f>
        <v>20675-HQ-LEL</v>
      </c>
      <c r="B91" s="8" t="s">
        <v>239</v>
      </c>
      <c r="C91" s="8" t="s">
        <v>15</v>
      </c>
      <c r="D91" s="8" t="s">
        <v>219</v>
      </c>
      <c r="E91" s="8" t="s">
        <v>13</v>
      </c>
      <c r="F91" s="9">
        <v>42215.481249999997</v>
      </c>
      <c r="G91" s="10">
        <v>42473</v>
      </c>
      <c r="H91" s="10">
        <v>43933</v>
      </c>
      <c r="I91" s="8" t="s">
        <v>248</v>
      </c>
      <c r="J91" s="8" t="str">
        <f>"North Western, Mufumbwe; Western, Kaoma"</f>
        <v>North Western, Mufumbwe; Western, Kaoma</v>
      </c>
    </row>
    <row r="92" spans="1:10" ht="22.5" x14ac:dyDescent="0.2">
      <c r="A92" s="1" t="str">
        <f>"20676-HQ-LEL"</f>
        <v>20676-HQ-LEL</v>
      </c>
      <c r="B92" s="5" t="s">
        <v>245</v>
      </c>
      <c r="C92" s="5" t="s">
        <v>15</v>
      </c>
      <c r="D92" s="5" t="s">
        <v>219</v>
      </c>
      <c r="E92" s="5" t="s">
        <v>13</v>
      </c>
      <c r="F92" s="6">
        <v>42215.486805555556</v>
      </c>
      <c r="G92" s="7">
        <v>42527</v>
      </c>
      <c r="H92" s="7">
        <v>43987</v>
      </c>
      <c r="I92" s="5" t="s">
        <v>249</v>
      </c>
      <c r="J92" s="5" t="str">
        <f>"North Western, Kasempa"</f>
        <v>North Western, Kasempa</v>
      </c>
    </row>
    <row r="93" spans="1:10" ht="22.5" x14ac:dyDescent="0.2">
      <c r="A93" s="2" t="str">
        <f>"20677-HQ-LEL"</f>
        <v>20677-HQ-LEL</v>
      </c>
      <c r="B93" s="8" t="s">
        <v>245</v>
      </c>
      <c r="C93" s="8" t="s">
        <v>15</v>
      </c>
      <c r="D93" s="8" t="s">
        <v>219</v>
      </c>
      <c r="E93" s="8" t="s">
        <v>13</v>
      </c>
      <c r="F93" s="9">
        <v>42215.47761574074</v>
      </c>
      <c r="G93" s="10">
        <v>42473</v>
      </c>
      <c r="H93" s="10">
        <v>43933</v>
      </c>
      <c r="I93" s="8" t="s">
        <v>250</v>
      </c>
      <c r="J93" s="8" t="str">
        <f>"Lusaka, Chongwe, Luangwa"</f>
        <v>Lusaka, Chongwe, Luangwa</v>
      </c>
    </row>
    <row r="94" spans="1:10" ht="22.5" x14ac:dyDescent="0.2">
      <c r="A94" s="1" t="str">
        <f>"20678-HQ-LEL"</f>
        <v>20678-HQ-LEL</v>
      </c>
      <c r="B94" s="5" t="s">
        <v>245</v>
      </c>
      <c r="C94" s="5" t="s">
        <v>15</v>
      </c>
      <c r="D94" s="5" t="s">
        <v>251</v>
      </c>
      <c r="E94" s="5" t="s">
        <v>13</v>
      </c>
      <c r="F94" s="6">
        <v>42215.492361111108</v>
      </c>
      <c r="G94" s="7">
        <v>42473</v>
      </c>
      <c r="H94" s="7">
        <v>43933</v>
      </c>
      <c r="I94" s="5" t="s">
        <v>252</v>
      </c>
      <c r="J94" s="5" t="str">
        <f>"Copperbelt, Chingola, Kalulushi"</f>
        <v>Copperbelt, Chingola, Kalulushi</v>
      </c>
    </row>
    <row r="95" spans="1:10" ht="22.5" x14ac:dyDescent="0.2">
      <c r="A95" s="2" t="str">
        <f>"20679-HQ-LEL"</f>
        <v>20679-HQ-LEL</v>
      </c>
      <c r="B95" s="8" t="s">
        <v>245</v>
      </c>
      <c r="C95" s="8" t="s">
        <v>15</v>
      </c>
      <c r="D95" s="8" t="s">
        <v>251</v>
      </c>
      <c r="E95" s="8" t="s">
        <v>13</v>
      </c>
      <c r="F95" s="9">
        <v>42215.49722222222</v>
      </c>
      <c r="G95" s="10">
        <v>42527</v>
      </c>
      <c r="H95" s="10">
        <v>43987</v>
      </c>
      <c r="I95" s="8" t="s">
        <v>253</v>
      </c>
      <c r="J95" s="8" t="str">
        <f>"Central, Kabwe, Kapiri Mposhi"</f>
        <v>Central, Kabwe, Kapiri Mposhi</v>
      </c>
    </row>
    <row r="96" spans="1:10" ht="22.5" x14ac:dyDescent="0.2">
      <c r="A96" s="1" t="str">
        <f>"20680-HQ-LEL"</f>
        <v>20680-HQ-LEL</v>
      </c>
      <c r="B96" s="5" t="s">
        <v>245</v>
      </c>
      <c r="C96" s="5" t="s">
        <v>15</v>
      </c>
      <c r="D96" s="5" t="s">
        <v>251</v>
      </c>
      <c r="E96" s="5" t="s">
        <v>13</v>
      </c>
      <c r="F96" s="6">
        <v>42215.495833333334</v>
      </c>
      <c r="G96" s="7">
        <v>42473</v>
      </c>
      <c r="H96" s="7">
        <v>43933</v>
      </c>
      <c r="I96" s="5" t="s">
        <v>254</v>
      </c>
      <c r="J96" s="5" t="str">
        <f>"Eastern, Nyimba"</f>
        <v>Eastern, Nyimba</v>
      </c>
    </row>
    <row r="97" spans="1:10" ht="22.5" x14ac:dyDescent="0.2">
      <c r="A97" s="2" t="str">
        <f>"20681-HQ-LEL"</f>
        <v>20681-HQ-LEL</v>
      </c>
      <c r="B97" s="8" t="s">
        <v>245</v>
      </c>
      <c r="C97" s="8" t="s">
        <v>15</v>
      </c>
      <c r="D97" s="8" t="s">
        <v>251</v>
      </c>
      <c r="E97" s="8" t="s">
        <v>72</v>
      </c>
      <c r="F97" s="9">
        <v>42215.490277777775</v>
      </c>
      <c r="G97" s="10">
        <v>42473</v>
      </c>
      <c r="H97" s="10">
        <v>43933</v>
      </c>
      <c r="I97" s="8" t="s">
        <v>255</v>
      </c>
      <c r="J97" s="8" t="str">
        <f>"North Western, Solwezi"</f>
        <v>North Western, Solwezi</v>
      </c>
    </row>
    <row r="98" spans="1:10" ht="22.5" x14ac:dyDescent="0.2">
      <c r="A98" s="1" t="str">
        <f>"20682-HQ-LEL"</f>
        <v>20682-HQ-LEL</v>
      </c>
      <c r="B98" s="5" t="s">
        <v>245</v>
      </c>
      <c r="C98" s="5" t="s">
        <v>15</v>
      </c>
      <c r="D98" s="5" t="s">
        <v>251</v>
      </c>
      <c r="E98" s="5" t="s">
        <v>13</v>
      </c>
      <c r="F98" s="6">
        <v>42215.488888888889</v>
      </c>
      <c r="G98" s="7">
        <v>42473</v>
      </c>
      <c r="H98" s="7">
        <v>43933</v>
      </c>
      <c r="I98" s="5" t="s">
        <v>256</v>
      </c>
      <c r="J98" s="5" t="str">
        <f>"Central, Mkushi"</f>
        <v>Central, Mkushi</v>
      </c>
    </row>
    <row r="99" spans="1:10" ht="22.5" x14ac:dyDescent="0.2">
      <c r="A99" s="2" t="str">
        <f>"20683-HQ-LEL"</f>
        <v>20683-HQ-LEL</v>
      </c>
      <c r="B99" s="8" t="s">
        <v>245</v>
      </c>
      <c r="C99" s="8" t="s">
        <v>15</v>
      </c>
      <c r="D99" s="8" t="s">
        <v>251</v>
      </c>
      <c r="E99" s="8" t="s">
        <v>13</v>
      </c>
      <c r="F99" s="9">
        <v>42215.5</v>
      </c>
      <c r="G99" s="10">
        <v>42513</v>
      </c>
      <c r="H99" s="10">
        <v>43973</v>
      </c>
      <c r="I99" s="8" t="s">
        <v>257</v>
      </c>
      <c r="J99" s="8" t="str">
        <f>"North Western, Kasempa"</f>
        <v>North Western, Kasempa</v>
      </c>
    </row>
    <row r="100" spans="1:10" ht="22.5" x14ac:dyDescent="0.2">
      <c r="A100" s="1" t="str">
        <f>"20684-HQ-LEL"</f>
        <v>20684-HQ-LEL</v>
      </c>
      <c r="B100" s="5" t="s">
        <v>245</v>
      </c>
      <c r="C100" s="5" t="s">
        <v>15</v>
      </c>
      <c r="D100" s="5" t="s">
        <v>251</v>
      </c>
      <c r="E100" s="5" t="s">
        <v>13</v>
      </c>
      <c r="F100" s="6">
        <v>42215.498611111114</v>
      </c>
      <c r="G100" s="7">
        <v>42514</v>
      </c>
      <c r="H100" s="7">
        <v>43974</v>
      </c>
      <c r="I100" s="5" t="s">
        <v>258</v>
      </c>
      <c r="J100" s="5" t="str">
        <f>"Central, Mkushi"</f>
        <v>Central, Mkushi</v>
      </c>
    </row>
    <row r="101" spans="1:10" x14ac:dyDescent="0.2">
      <c r="A101" s="2" t="str">
        <f>"20685-HQ-LEL"</f>
        <v>20685-HQ-LEL</v>
      </c>
      <c r="B101" s="8" t="s">
        <v>259</v>
      </c>
      <c r="C101" s="8" t="s">
        <v>15</v>
      </c>
      <c r="D101" s="8"/>
      <c r="E101" s="8" t="s">
        <v>72</v>
      </c>
      <c r="F101" s="9">
        <v>42215.501388888886</v>
      </c>
      <c r="G101" s="10">
        <v>42473</v>
      </c>
      <c r="H101" s="10">
        <v>43933</v>
      </c>
      <c r="I101" s="8" t="s">
        <v>260</v>
      </c>
      <c r="J101" s="8" t="str">
        <f>"North Western, Mufumbwe"</f>
        <v>North Western, Mufumbwe</v>
      </c>
    </row>
    <row r="102" spans="1:10" ht="22.5" x14ac:dyDescent="0.2">
      <c r="A102" s="1" t="str">
        <f>"20687-HQ-LEL"</f>
        <v>20687-HQ-LEL</v>
      </c>
      <c r="B102" s="5" t="s">
        <v>259</v>
      </c>
      <c r="C102" s="5" t="s">
        <v>15</v>
      </c>
      <c r="D102" s="5" t="s">
        <v>251</v>
      </c>
      <c r="E102" s="5" t="s">
        <v>13</v>
      </c>
      <c r="F102" s="6">
        <v>42215.505555555559</v>
      </c>
      <c r="G102" s="7">
        <v>42473</v>
      </c>
      <c r="H102" s="7">
        <v>43933</v>
      </c>
      <c r="I102" s="5" t="s">
        <v>261</v>
      </c>
      <c r="J102" s="5" t="str">
        <f>"Southern, Choma, Monze, Namwala"</f>
        <v>Southern, Choma, Monze, Namwala</v>
      </c>
    </row>
    <row r="103" spans="1:10" ht="22.5" x14ac:dyDescent="0.2">
      <c r="A103" s="2" t="str">
        <f>"20688-HQ-LEL"</f>
        <v>20688-HQ-LEL</v>
      </c>
      <c r="B103" s="8" t="s">
        <v>259</v>
      </c>
      <c r="C103" s="8" t="s">
        <v>15</v>
      </c>
      <c r="D103" s="8" t="s">
        <v>251</v>
      </c>
      <c r="E103" s="8" t="s">
        <v>13</v>
      </c>
      <c r="F103" s="9">
        <v>42215.507638888892</v>
      </c>
      <c r="G103" s="10">
        <v>42528</v>
      </c>
      <c r="H103" s="10">
        <v>43988</v>
      </c>
      <c r="I103" s="8" t="s">
        <v>262</v>
      </c>
      <c r="J103" s="8" t="str">
        <f>"Central, Mkushi"</f>
        <v>Central, Mkushi</v>
      </c>
    </row>
    <row r="104" spans="1:10" ht="22.5" x14ac:dyDescent="0.2">
      <c r="A104" s="1" t="str">
        <f>"20689-HQ-LEL"</f>
        <v>20689-HQ-LEL</v>
      </c>
      <c r="B104" s="5" t="s">
        <v>259</v>
      </c>
      <c r="C104" s="5" t="s">
        <v>15</v>
      </c>
      <c r="D104" s="5" t="s">
        <v>219</v>
      </c>
      <c r="E104" s="5" t="s">
        <v>13</v>
      </c>
      <c r="F104" s="6">
        <v>42215.509027777778</v>
      </c>
      <c r="G104" s="7">
        <v>42534</v>
      </c>
      <c r="H104" s="7">
        <v>43994</v>
      </c>
      <c r="I104" s="5" t="s">
        <v>263</v>
      </c>
      <c r="J104" s="5" t="str">
        <f>"Central, Kapiri Mposhi"</f>
        <v>Central, Kapiri Mposhi</v>
      </c>
    </row>
    <row r="105" spans="1:10" ht="22.5" x14ac:dyDescent="0.2">
      <c r="A105" s="2" t="str">
        <f>"20692-HQ-LEL"</f>
        <v>20692-HQ-LEL</v>
      </c>
      <c r="B105" s="8" t="s">
        <v>239</v>
      </c>
      <c r="C105" s="8" t="s">
        <v>15</v>
      </c>
      <c r="D105" s="8" t="s">
        <v>219</v>
      </c>
      <c r="E105" s="8" t="s">
        <v>13</v>
      </c>
      <c r="F105" s="9">
        <v>42215.513194444444</v>
      </c>
      <c r="G105" s="10">
        <v>42600</v>
      </c>
      <c r="H105" s="10">
        <v>44060</v>
      </c>
      <c r="I105" s="8" t="s">
        <v>264</v>
      </c>
      <c r="J105" s="8" t="str">
        <f>"North Western, Mwinilunga"</f>
        <v>North Western, Mwinilunga</v>
      </c>
    </row>
    <row r="106" spans="1:10" ht="22.5" x14ac:dyDescent="0.2">
      <c r="A106" s="1" t="str">
        <f>"20693-HQ-LEL"</f>
        <v>20693-HQ-LEL</v>
      </c>
      <c r="B106" s="5" t="s">
        <v>259</v>
      </c>
      <c r="C106" s="5" t="s">
        <v>15</v>
      </c>
      <c r="D106" s="5" t="s">
        <v>219</v>
      </c>
      <c r="E106" s="5" t="s">
        <v>13</v>
      </c>
      <c r="F106" s="6">
        <v>42215.504166666666</v>
      </c>
      <c r="G106" s="7">
        <v>42534</v>
      </c>
      <c r="H106" s="7">
        <v>43994</v>
      </c>
      <c r="I106" s="5" t="s">
        <v>265</v>
      </c>
      <c r="J106" s="5" t="str">
        <f>"Central, Mumbwa; North Western, Kasempa"</f>
        <v>Central, Mumbwa; North Western, Kasempa</v>
      </c>
    </row>
    <row r="107" spans="1:10" x14ac:dyDescent="0.2">
      <c r="A107" s="2" t="str">
        <f>"20695-HQ-SML"</f>
        <v>20695-HQ-SML</v>
      </c>
      <c r="B107" s="8" t="s">
        <v>266</v>
      </c>
      <c r="C107" s="8" t="s">
        <v>11</v>
      </c>
      <c r="D107" s="8" t="s">
        <v>267</v>
      </c>
      <c r="E107" s="8" t="s">
        <v>13</v>
      </c>
      <c r="F107" s="9">
        <v>42216.472916666666</v>
      </c>
      <c r="G107" s="10">
        <v>42471</v>
      </c>
      <c r="H107" s="10">
        <v>46122</v>
      </c>
      <c r="I107" s="8" t="s">
        <v>268</v>
      </c>
      <c r="J107" s="8" t="str">
        <f>"Eastern, Petauke"</f>
        <v>Eastern, Petauke</v>
      </c>
    </row>
    <row r="108" spans="1:10" x14ac:dyDescent="0.2">
      <c r="A108" s="1" t="str">
        <f>"20697-HQ-LEL"</f>
        <v>20697-HQ-LEL</v>
      </c>
      <c r="B108" s="5" t="s">
        <v>269</v>
      </c>
      <c r="C108" s="5" t="s">
        <v>15</v>
      </c>
      <c r="D108" s="5" t="s">
        <v>270</v>
      </c>
      <c r="E108" s="5" t="s">
        <v>13</v>
      </c>
      <c r="F108" s="6">
        <v>42221.405555555553</v>
      </c>
      <c r="G108" s="7">
        <v>42488</v>
      </c>
      <c r="H108" s="7">
        <v>43948</v>
      </c>
      <c r="I108" s="5" t="s">
        <v>271</v>
      </c>
      <c r="J108" s="5" t="str">
        <f>"North Western, Solwezi"</f>
        <v>North Western, Solwezi</v>
      </c>
    </row>
    <row r="109" spans="1:10" ht="22.5" x14ac:dyDescent="0.2">
      <c r="A109" s="2" t="str">
        <f>"20698-HQ-AMR"</f>
        <v>20698-HQ-AMR</v>
      </c>
      <c r="B109" s="8" t="s">
        <v>272</v>
      </c>
      <c r="C109" s="8" t="s">
        <v>19</v>
      </c>
      <c r="D109" s="8" t="s">
        <v>219</v>
      </c>
      <c r="E109" s="8" t="s">
        <v>13</v>
      </c>
      <c r="F109" s="9">
        <v>42221.411805555559</v>
      </c>
      <c r="G109" s="10">
        <v>42496</v>
      </c>
      <c r="H109" s="10">
        <v>43225</v>
      </c>
      <c r="I109" s="8" t="s">
        <v>273</v>
      </c>
      <c r="J109" s="8" t="str">
        <f>"Copperbelt, Kalulushi"</f>
        <v>Copperbelt, Kalulushi</v>
      </c>
    </row>
    <row r="110" spans="1:10" x14ac:dyDescent="0.2">
      <c r="A110" s="1" t="str">
        <f>"20701-HQ-AMR"</f>
        <v>20701-HQ-AMR</v>
      </c>
      <c r="B110" s="5" t="s">
        <v>274</v>
      </c>
      <c r="C110" s="5" t="s">
        <v>19</v>
      </c>
      <c r="D110" s="5" t="s">
        <v>40</v>
      </c>
      <c r="E110" s="5" t="s">
        <v>72</v>
      </c>
      <c r="F110" s="6">
        <v>42222.397222222222</v>
      </c>
      <c r="G110" s="7">
        <v>42480</v>
      </c>
      <c r="H110" s="7">
        <v>43209</v>
      </c>
      <c r="I110" s="5" t="s">
        <v>275</v>
      </c>
      <c r="J110" s="5" t="str">
        <f>"North Western, Solwezi"</f>
        <v>North Western, Solwezi</v>
      </c>
    </row>
    <row r="111" spans="1:10" x14ac:dyDescent="0.2">
      <c r="A111" s="2" t="str">
        <f>"20703-HQ-LEL"</f>
        <v>20703-HQ-LEL</v>
      </c>
      <c r="B111" s="8" t="s">
        <v>276</v>
      </c>
      <c r="C111" s="8" t="s">
        <v>15</v>
      </c>
      <c r="D111" s="8" t="s">
        <v>277</v>
      </c>
      <c r="E111" s="8" t="s">
        <v>13</v>
      </c>
      <c r="F111" s="9">
        <v>42223.397916666669</v>
      </c>
      <c r="G111" s="10">
        <v>42557</v>
      </c>
      <c r="H111" s="10">
        <v>44017</v>
      </c>
      <c r="I111" s="8" t="s">
        <v>278</v>
      </c>
      <c r="J111" s="8" t="str">
        <f>"Eastern, Nyimba"</f>
        <v>Eastern, Nyimba</v>
      </c>
    </row>
    <row r="112" spans="1:10" x14ac:dyDescent="0.2">
      <c r="A112" s="1" t="str">
        <f>"20704-HQ-LEL"</f>
        <v>20704-HQ-LEL</v>
      </c>
      <c r="B112" s="5" t="s">
        <v>279</v>
      </c>
      <c r="C112" s="5" t="s">
        <v>15</v>
      </c>
      <c r="D112" s="5" t="s">
        <v>280</v>
      </c>
      <c r="E112" s="5" t="s">
        <v>13</v>
      </c>
      <c r="F112" s="6">
        <v>42223.477083333331</v>
      </c>
      <c r="G112" s="7">
        <v>42499</v>
      </c>
      <c r="H112" s="7">
        <v>43959</v>
      </c>
      <c r="I112" s="5" t="s">
        <v>281</v>
      </c>
      <c r="J112" s="5" t="str">
        <f>"Southern, Mazabuka, Siavonga"</f>
        <v>Southern, Mazabuka, Siavonga</v>
      </c>
    </row>
    <row r="113" spans="1:10" x14ac:dyDescent="0.2">
      <c r="A113" s="2" t="str">
        <f>"20705-HQ-LEL"</f>
        <v>20705-HQ-LEL</v>
      </c>
      <c r="B113" s="8" t="s">
        <v>210</v>
      </c>
      <c r="C113" s="8" t="s">
        <v>15</v>
      </c>
      <c r="D113" s="8" t="s">
        <v>282</v>
      </c>
      <c r="E113" s="8" t="s">
        <v>13</v>
      </c>
      <c r="F113" s="9">
        <v>42223.523611111108</v>
      </c>
      <c r="G113" s="10">
        <v>42537</v>
      </c>
      <c r="H113" s="10">
        <v>43997</v>
      </c>
      <c r="I113" s="8" t="s">
        <v>283</v>
      </c>
      <c r="J113" s="8" t="str">
        <f>"Southern, Gwembe, Sinazongwe"</f>
        <v>Southern, Gwembe, Sinazongwe</v>
      </c>
    </row>
    <row r="114" spans="1:10" x14ac:dyDescent="0.2">
      <c r="A114" s="1" t="str">
        <f>"20706-HQ-SEL"</f>
        <v>20706-HQ-SEL</v>
      </c>
      <c r="B114" s="5" t="s">
        <v>284</v>
      </c>
      <c r="C114" s="5" t="s">
        <v>34</v>
      </c>
      <c r="D114" s="5" t="s">
        <v>285</v>
      </c>
      <c r="E114" s="5" t="s">
        <v>13</v>
      </c>
      <c r="F114" s="6">
        <v>42223.529861111114</v>
      </c>
      <c r="G114" s="7">
        <v>42488</v>
      </c>
      <c r="H114" s="7">
        <v>43948</v>
      </c>
      <c r="I114" s="5" t="s">
        <v>286</v>
      </c>
      <c r="J114" s="5" t="str">
        <f>"Central, Serenje"</f>
        <v>Central, Serenje</v>
      </c>
    </row>
    <row r="115" spans="1:10" x14ac:dyDescent="0.2">
      <c r="A115" s="2" t="str">
        <f>"20711-HQ-LEL"</f>
        <v>20711-HQ-LEL</v>
      </c>
      <c r="B115" s="8" t="s">
        <v>287</v>
      </c>
      <c r="C115" s="8" t="s">
        <v>15</v>
      </c>
      <c r="D115" s="8" t="s">
        <v>288</v>
      </c>
      <c r="E115" s="8" t="s">
        <v>13</v>
      </c>
      <c r="F115" s="9">
        <v>42227.415277777778</v>
      </c>
      <c r="G115" s="10">
        <v>42495</v>
      </c>
      <c r="H115" s="10">
        <v>43955</v>
      </c>
      <c r="I115" s="8" t="s">
        <v>289</v>
      </c>
      <c r="J115" s="8" t="str">
        <f>"North Western, Mwinilunga"</f>
        <v>North Western, Mwinilunga</v>
      </c>
    </row>
    <row r="116" spans="1:10" x14ac:dyDescent="0.2">
      <c r="A116" s="1" t="str">
        <f>"20712-HQ-LEL"</f>
        <v>20712-HQ-LEL</v>
      </c>
      <c r="B116" s="5" t="s">
        <v>287</v>
      </c>
      <c r="C116" s="5" t="s">
        <v>15</v>
      </c>
      <c r="D116" s="5" t="s">
        <v>288</v>
      </c>
      <c r="E116" s="5" t="s">
        <v>13</v>
      </c>
      <c r="F116" s="6">
        <v>42227.419444444444</v>
      </c>
      <c r="G116" s="7">
        <v>42541</v>
      </c>
      <c r="H116" s="7">
        <v>44001</v>
      </c>
      <c r="I116" s="5" t="s">
        <v>290</v>
      </c>
      <c r="J116" s="5" t="str">
        <f>"North Western, Mwinilunga"</f>
        <v>North Western, Mwinilunga</v>
      </c>
    </row>
    <row r="117" spans="1:10" x14ac:dyDescent="0.2">
      <c r="A117" s="2" t="str">
        <f>"20715-HQ-AMR"</f>
        <v>20715-HQ-AMR</v>
      </c>
      <c r="B117" s="8" t="s">
        <v>291</v>
      </c>
      <c r="C117" s="8" t="s">
        <v>19</v>
      </c>
      <c r="D117" s="8" t="s">
        <v>285</v>
      </c>
      <c r="E117" s="8" t="s">
        <v>72</v>
      </c>
      <c r="F117" s="9">
        <v>42227.518750000003</v>
      </c>
      <c r="G117" s="10">
        <v>42467</v>
      </c>
      <c r="H117" s="10">
        <v>43196</v>
      </c>
      <c r="I117" s="8" t="s">
        <v>292</v>
      </c>
      <c r="J117" s="8" t="str">
        <f>"Central, Serenje"</f>
        <v>Central, Serenje</v>
      </c>
    </row>
    <row r="118" spans="1:10" x14ac:dyDescent="0.2">
      <c r="A118" s="1" t="str">
        <f>"20716-HQ-AMR"</f>
        <v>20716-HQ-AMR</v>
      </c>
      <c r="B118" s="5" t="s">
        <v>293</v>
      </c>
      <c r="C118" s="5" t="s">
        <v>19</v>
      </c>
      <c r="D118" s="5" t="s">
        <v>285</v>
      </c>
      <c r="E118" s="5" t="s">
        <v>72</v>
      </c>
      <c r="F118" s="6">
        <v>42227.520138888889</v>
      </c>
      <c r="G118" s="7">
        <v>42488</v>
      </c>
      <c r="H118" s="7">
        <v>43217</v>
      </c>
      <c r="I118" s="5" t="s">
        <v>292</v>
      </c>
      <c r="J118" s="5" t="str">
        <f>"Central, Serenje"</f>
        <v>Central, Serenje</v>
      </c>
    </row>
    <row r="119" spans="1:10" x14ac:dyDescent="0.2">
      <c r="A119" s="2" t="str">
        <f>"20719-HQ-LPL"</f>
        <v>20719-HQ-LPL</v>
      </c>
      <c r="B119" s="8" t="s">
        <v>294</v>
      </c>
      <c r="C119" s="8" t="s">
        <v>15</v>
      </c>
      <c r="D119" s="8" t="s">
        <v>295</v>
      </c>
      <c r="E119" s="8" t="s">
        <v>13</v>
      </c>
      <c r="F119" s="9">
        <v>42228.521527777775</v>
      </c>
      <c r="G119" s="10">
        <v>42548</v>
      </c>
      <c r="H119" s="10">
        <v>44008</v>
      </c>
      <c r="I119" s="8" t="s">
        <v>296</v>
      </c>
      <c r="J119" s="8" t="str">
        <f>"Central, Mumbwa"</f>
        <v>Central, Mumbwa</v>
      </c>
    </row>
    <row r="120" spans="1:10" x14ac:dyDescent="0.2">
      <c r="A120" s="1" t="str">
        <f>"20720-HQ-LEL"</f>
        <v>20720-HQ-LEL</v>
      </c>
      <c r="B120" s="5"/>
      <c r="C120" s="5" t="s">
        <v>15</v>
      </c>
      <c r="D120" s="5" t="s">
        <v>295</v>
      </c>
      <c r="E120" s="5" t="s">
        <v>55</v>
      </c>
      <c r="F120" s="6">
        <v>42228.522916666669</v>
      </c>
      <c r="G120" s="7">
        <v>42538</v>
      </c>
      <c r="H120" s="7">
        <v>43998</v>
      </c>
      <c r="I120" s="5" t="s">
        <v>297</v>
      </c>
      <c r="J120" s="5" t="str">
        <f>"Copperbelt, Masaiti"</f>
        <v>Copperbelt, Masaiti</v>
      </c>
    </row>
    <row r="121" spans="1:10" x14ac:dyDescent="0.2">
      <c r="A121" s="2" t="str">
        <f>"20721-HQ-LEL"</f>
        <v>20721-HQ-LEL</v>
      </c>
      <c r="B121" s="8" t="s">
        <v>298</v>
      </c>
      <c r="C121" s="8" t="s">
        <v>15</v>
      </c>
      <c r="D121" s="8" t="s">
        <v>295</v>
      </c>
      <c r="E121" s="8" t="s">
        <v>13</v>
      </c>
      <c r="F121" s="9">
        <v>42228.524305555555</v>
      </c>
      <c r="G121" s="10">
        <v>42649</v>
      </c>
      <c r="H121" s="10">
        <v>44109</v>
      </c>
      <c r="I121" s="8" t="s">
        <v>299</v>
      </c>
      <c r="J121" s="8" t="str">
        <f>"Copperbelt, Chililabombwe, Chingola, Lufwanyama"</f>
        <v>Copperbelt, Chililabombwe, Chingola, Lufwanyama</v>
      </c>
    </row>
    <row r="122" spans="1:10" x14ac:dyDescent="0.2">
      <c r="A122" s="1" t="str">
        <f>"20722-HQ-LEL"</f>
        <v>20722-HQ-LEL</v>
      </c>
      <c r="B122" s="5" t="s">
        <v>300</v>
      </c>
      <c r="C122" s="5" t="s">
        <v>15</v>
      </c>
      <c r="D122" s="5" t="s">
        <v>295</v>
      </c>
      <c r="E122" s="5" t="s">
        <v>138</v>
      </c>
      <c r="F122" s="6">
        <v>42228.525694444441</v>
      </c>
      <c r="G122" s="7">
        <v>42536</v>
      </c>
      <c r="H122" s="7">
        <v>43996</v>
      </c>
      <c r="I122" s="5" t="s">
        <v>301</v>
      </c>
      <c r="J122" s="5" t="str">
        <f>"North Western, Mwinilunga"</f>
        <v>North Western, Mwinilunga</v>
      </c>
    </row>
    <row r="123" spans="1:10" x14ac:dyDescent="0.2">
      <c r="A123" s="2" t="str">
        <f>"20723-HQ-LEL"</f>
        <v>20723-HQ-LEL</v>
      </c>
      <c r="B123" s="8" t="s">
        <v>298</v>
      </c>
      <c r="C123" s="8" t="s">
        <v>15</v>
      </c>
      <c r="D123" s="8" t="s">
        <v>295</v>
      </c>
      <c r="E123" s="8" t="s">
        <v>138</v>
      </c>
      <c r="F123" s="9">
        <v>42228.527083333334</v>
      </c>
      <c r="G123" s="10">
        <v>42592</v>
      </c>
      <c r="H123" s="10">
        <v>44052</v>
      </c>
      <c r="I123" s="8" t="s">
        <v>302</v>
      </c>
      <c r="J123" s="8" t="str">
        <f>"North Western, Solwezi"</f>
        <v>North Western, Solwezi</v>
      </c>
    </row>
    <row r="124" spans="1:10" x14ac:dyDescent="0.2">
      <c r="A124" s="1" t="str">
        <f>"20724-HQ-LEL"</f>
        <v>20724-HQ-LEL</v>
      </c>
      <c r="B124" s="5" t="s">
        <v>294</v>
      </c>
      <c r="C124" s="5" t="s">
        <v>15</v>
      </c>
      <c r="D124" s="5" t="s">
        <v>295</v>
      </c>
      <c r="E124" s="5" t="s">
        <v>13</v>
      </c>
      <c r="F124" s="6">
        <v>42228.52847222222</v>
      </c>
      <c r="G124" s="7">
        <v>42508</v>
      </c>
      <c r="H124" s="7">
        <v>43968</v>
      </c>
      <c r="I124" s="5" t="s">
        <v>303</v>
      </c>
      <c r="J124" s="5" t="str">
        <f>"Central, Kapiri Mposhi"</f>
        <v>Central, Kapiri Mposhi</v>
      </c>
    </row>
    <row r="125" spans="1:10" x14ac:dyDescent="0.2">
      <c r="A125" s="2" t="str">
        <f>"20729-HQ-LEL"</f>
        <v>20729-HQ-LEL</v>
      </c>
      <c r="B125" s="8" t="s">
        <v>304</v>
      </c>
      <c r="C125" s="8" t="s">
        <v>15</v>
      </c>
      <c r="D125" s="8" t="s">
        <v>305</v>
      </c>
      <c r="E125" s="8" t="s">
        <v>13</v>
      </c>
      <c r="F125" s="9">
        <v>42230.499305555553</v>
      </c>
      <c r="G125" s="10">
        <v>42559</v>
      </c>
      <c r="H125" s="10">
        <v>44019</v>
      </c>
      <c r="I125" s="8" t="s">
        <v>306</v>
      </c>
      <c r="J125" s="8" t="str">
        <f>"North Western, Mufumbwe"</f>
        <v>North Western, Mufumbwe</v>
      </c>
    </row>
    <row r="126" spans="1:10" x14ac:dyDescent="0.2">
      <c r="A126" s="1" t="str">
        <f>"20730-HQ-LEL"</f>
        <v>20730-HQ-LEL</v>
      </c>
      <c r="B126" s="5" t="s">
        <v>307</v>
      </c>
      <c r="C126" s="5" t="s">
        <v>15</v>
      </c>
      <c r="D126" s="5" t="s">
        <v>308</v>
      </c>
      <c r="E126" s="5" t="s">
        <v>13</v>
      </c>
      <c r="F126" s="6">
        <v>42230.517361111109</v>
      </c>
      <c r="G126" s="7">
        <v>42578</v>
      </c>
      <c r="H126" s="7">
        <v>44038</v>
      </c>
      <c r="I126" s="5" t="s">
        <v>309</v>
      </c>
      <c r="J126" s="5" t="str">
        <f>"North Western, Kabompo, Mufumbwe"</f>
        <v>North Western, Kabompo, Mufumbwe</v>
      </c>
    </row>
    <row r="127" spans="1:10" x14ac:dyDescent="0.2">
      <c r="A127" s="2" t="str">
        <f>"20731-HQ-LEL"</f>
        <v>20731-HQ-LEL</v>
      </c>
      <c r="B127" s="8" t="s">
        <v>307</v>
      </c>
      <c r="C127" s="8" t="s">
        <v>15</v>
      </c>
      <c r="D127" s="8" t="s">
        <v>308</v>
      </c>
      <c r="E127" s="8" t="s">
        <v>13</v>
      </c>
      <c r="F127" s="9">
        <v>42230.518750000003</v>
      </c>
      <c r="G127" s="10">
        <v>42508</v>
      </c>
      <c r="H127" s="10">
        <v>43968</v>
      </c>
      <c r="I127" s="8" t="s">
        <v>310</v>
      </c>
      <c r="J127" s="8" t="str">
        <f>"North Western, Kasempa"</f>
        <v>North Western, Kasempa</v>
      </c>
    </row>
    <row r="128" spans="1:10" ht="22.5" x14ac:dyDescent="0.2">
      <c r="A128" s="1" t="str">
        <f>"20732-HQ-LEL"</f>
        <v>20732-HQ-LEL</v>
      </c>
      <c r="B128" s="5" t="s">
        <v>311</v>
      </c>
      <c r="C128" s="5" t="s">
        <v>15</v>
      </c>
      <c r="D128" s="5" t="s">
        <v>312</v>
      </c>
      <c r="E128" s="5" t="s">
        <v>13</v>
      </c>
      <c r="F128" s="6">
        <v>42233.406944444447</v>
      </c>
      <c r="G128" s="7">
        <v>42451</v>
      </c>
      <c r="H128" s="7">
        <v>43911</v>
      </c>
      <c r="I128" s="5" t="s">
        <v>313</v>
      </c>
      <c r="J128" s="5" t="str">
        <f>"Lusaka, Chongwe, Kafue"</f>
        <v>Lusaka, Chongwe, Kafue</v>
      </c>
    </row>
    <row r="129" spans="1:10" x14ac:dyDescent="0.2">
      <c r="A129" s="2" t="str">
        <f>"20735-HQ-LEL"</f>
        <v>20735-HQ-LEL</v>
      </c>
      <c r="B129" s="8" t="s">
        <v>314</v>
      </c>
      <c r="C129" s="8" t="s">
        <v>15</v>
      </c>
      <c r="D129" s="8" t="s">
        <v>315</v>
      </c>
      <c r="E129" s="8" t="s">
        <v>13</v>
      </c>
      <c r="F129" s="9">
        <v>42233.518750000003</v>
      </c>
      <c r="G129" s="10">
        <v>42478</v>
      </c>
      <c r="H129" s="10">
        <v>43938</v>
      </c>
      <c r="I129" s="8" t="s">
        <v>316</v>
      </c>
      <c r="J129" s="8" t="str">
        <f>"Central, Serenje"</f>
        <v>Central, Serenje</v>
      </c>
    </row>
    <row r="130" spans="1:10" x14ac:dyDescent="0.2">
      <c r="A130" s="1" t="str">
        <f>"20737-HQ-SEL"</f>
        <v>20737-HQ-SEL</v>
      </c>
      <c r="B130" s="5" t="s">
        <v>317</v>
      </c>
      <c r="C130" s="5" t="s">
        <v>34</v>
      </c>
      <c r="D130" s="5" t="s">
        <v>58</v>
      </c>
      <c r="E130" s="5" t="s">
        <v>13</v>
      </c>
      <c r="F130" s="6">
        <v>42234.428472222222</v>
      </c>
      <c r="G130" s="7">
        <v>42527</v>
      </c>
      <c r="H130" s="7">
        <v>43987</v>
      </c>
      <c r="I130" s="5" t="s">
        <v>318</v>
      </c>
      <c r="J130" s="5" t="str">
        <f>"Copperbelt, Chililabombwe"</f>
        <v>Copperbelt, Chililabombwe</v>
      </c>
    </row>
    <row r="131" spans="1:10" x14ac:dyDescent="0.2">
      <c r="A131" s="2" t="str">
        <f>"20738-HQ-LEL"</f>
        <v>20738-HQ-LEL</v>
      </c>
      <c r="B131" s="8" t="s">
        <v>319</v>
      </c>
      <c r="C131" s="8" t="s">
        <v>15</v>
      </c>
      <c r="D131" s="8" t="s">
        <v>320</v>
      </c>
      <c r="E131" s="8" t="s">
        <v>13</v>
      </c>
      <c r="F131" s="9">
        <v>42234.454861111109</v>
      </c>
      <c r="G131" s="10">
        <v>42502</v>
      </c>
      <c r="H131" s="10">
        <v>43962</v>
      </c>
      <c r="I131" s="8" t="s">
        <v>321</v>
      </c>
      <c r="J131" s="8" t="str">
        <f>"North Western, Kasempa, Solwezi"</f>
        <v>North Western, Kasempa, Solwezi</v>
      </c>
    </row>
    <row r="132" spans="1:10" x14ac:dyDescent="0.2">
      <c r="A132" s="1" t="str">
        <f>"20740-HQ-AMR"</f>
        <v>20740-HQ-AMR</v>
      </c>
      <c r="B132" s="5" t="s">
        <v>322</v>
      </c>
      <c r="C132" s="5" t="s">
        <v>19</v>
      </c>
      <c r="D132" s="5" t="s">
        <v>323</v>
      </c>
      <c r="E132" s="5" t="s">
        <v>72</v>
      </c>
      <c r="F132" s="6">
        <v>42235.456250000003</v>
      </c>
      <c r="G132" s="7">
        <v>42494</v>
      </c>
      <c r="H132" s="7">
        <v>43223</v>
      </c>
      <c r="I132" s="5" t="s">
        <v>324</v>
      </c>
      <c r="J132" s="5" t="str">
        <f>"Copperbelt, Kalulushi"</f>
        <v>Copperbelt, Kalulushi</v>
      </c>
    </row>
    <row r="133" spans="1:10" x14ac:dyDescent="0.2">
      <c r="A133" s="2" t="str">
        <f>"20741-HQ-SEL"</f>
        <v>20741-HQ-SEL</v>
      </c>
      <c r="B133" s="8" t="s">
        <v>325</v>
      </c>
      <c r="C133" s="8" t="s">
        <v>34</v>
      </c>
      <c r="D133" s="8" t="s">
        <v>323</v>
      </c>
      <c r="E133" s="8" t="s">
        <v>13</v>
      </c>
      <c r="F133" s="9">
        <v>42235.457638888889</v>
      </c>
      <c r="G133" s="10">
        <v>42494</v>
      </c>
      <c r="H133" s="10">
        <v>43954</v>
      </c>
      <c r="I133" s="8" t="s">
        <v>326</v>
      </c>
      <c r="J133" s="8" t="str">
        <f>"Copperbelt, Kalulushi"</f>
        <v>Copperbelt, Kalulushi</v>
      </c>
    </row>
    <row r="134" spans="1:10" x14ac:dyDescent="0.2">
      <c r="A134" s="1" t="str">
        <f>"20742-HQ-SEL"</f>
        <v>20742-HQ-SEL</v>
      </c>
      <c r="B134" s="5" t="s">
        <v>325</v>
      </c>
      <c r="C134" s="5" t="s">
        <v>34</v>
      </c>
      <c r="D134" s="5" t="s">
        <v>327</v>
      </c>
      <c r="E134" s="5" t="s">
        <v>13</v>
      </c>
      <c r="F134" s="6">
        <v>42235.460416666669</v>
      </c>
      <c r="G134" s="7">
        <v>42494</v>
      </c>
      <c r="H134" s="7">
        <v>43954</v>
      </c>
      <c r="I134" s="5" t="s">
        <v>328</v>
      </c>
      <c r="J134" s="5" t="str">
        <f>"Copperbelt, Masaiti"</f>
        <v>Copperbelt, Masaiti</v>
      </c>
    </row>
    <row r="135" spans="1:10" x14ac:dyDescent="0.2">
      <c r="A135" s="2" t="str">
        <f>"20743-HQ-AMR"</f>
        <v>20743-HQ-AMR</v>
      </c>
      <c r="B135" s="8" t="s">
        <v>329</v>
      </c>
      <c r="C135" s="8" t="s">
        <v>19</v>
      </c>
      <c r="D135" s="8" t="s">
        <v>71</v>
      </c>
      <c r="E135" s="8" t="s">
        <v>72</v>
      </c>
      <c r="F135" s="9">
        <v>42235.504861111112</v>
      </c>
      <c r="G135" s="10">
        <v>42488</v>
      </c>
      <c r="H135" s="10">
        <v>43217</v>
      </c>
      <c r="I135" s="8" t="s">
        <v>330</v>
      </c>
      <c r="J135" s="8" t="str">
        <f>"Eastern, Lundazi"</f>
        <v>Eastern, Lundazi</v>
      </c>
    </row>
    <row r="136" spans="1:10" x14ac:dyDescent="0.2">
      <c r="A136" s="1" t="str">
        <f>"20744-HQ-SEL"</f>
        <v>20744-HQ-SEL</v>
      </c>
      <c r="B136" s="5" t="s">
        <v>331</v>
      </c>
      <c r="C136" s="5" t="s">
        <v>34</v>
      </c>
      <c r="D136" s="5" t="s">
        <v>233</v>
      </c>
      <c r="E136" s="5" t="s">
        <v>13</v>
      </c>
      <c r="F136" s="6">
        <v>42235.519444444442</v>
      </c>
      <c r="G136" s="7">
        <v>42599</v>
      </c>
      <c r="H136" s="7">
        <v>44059</v>
      </c>
      <c r="I136" s="5" t="s">
        <v>332</v>
      </c>
      <c r="J136" s="5" t="str">
        <f>"Lusaka, Chongwe"</f>
        <v>Lusaka, Chongwe</v>
      </c>
    </row>
    <row r="137" spans="1:10" x14ac:dyDescent="0.2">
      <c r="A137" s="2" t="str">
        <f>"20745-HQ-SEL"</f>
        <v>20745-HQ-SEL</v>
      </c>
      <c r="B137" s="8" t="s">
        <v>333</v>
      </c>
      <c r="C137" s="8" t="s">
        <v>34</v>
      </c>
      <c r="D137" s="8" t="s">
        <v>85</v>
      </c>
      <c r="E137" s="8" t="s">
        <v>13</v>
      </c>
      <c r="F137" s="9">
        <v>42235.521527777775</v>
      </c>
      <c r="G137" s="10">
        <v>42573</v>
      </c>
      <c r="H137" s="10">
        <v>44033</v>
      </c>
      <c r="I137" s="8" t="s">
        <v>334</v>
      </c>
      <c r="J137" s="8" t="str">
        <f>"Northern, Mpika"</f>
        <v>Northern, Mpika</v>
      </c>
    </row>
    <row r="138" spans="1:10" x14ac:dyDescent="0.2">
      <c r="A138" s="1" t="str">
        <f>"20746-HQ-SEL"</f>
        <v>20746-HQ-SEL</v>
      </c>
      <c r="B138" s="5" t="s">
        <v>331</v>
      </c>
      <c r="C138" s="5" t="s">
        <v>34</v>
      </c>
      <c r="D138" s="5" t="s">
        <v>233</v>
      </c>
      <c r="E138" s="5" t="s">
        <v>13</v>
      </c>
      <c r="F138" s="6">
        <v>42235.524305555555</v>
      </c>
      <c r="G138" s="7">
        <v>42599</v>
      </c>
      <c r="H138" s="7">
        <v>44059</v>
      </c>
      <c r="I138" s="5" t="s">
        <v>335</v>
      </c>
      <c r="J138" s="5" t="str">
        <f>"Lusaka, Chongwe"</f>
        <v>Lusaka, Chongwe</v>
      </c>
    </row>
    <row r="139" spans="1:10" x14ac:dyDescent="0.2">
      <c r="A139" s="2" t="str">
        <f>"20747-HQ-SEL"</f>
        <v>20747-HQ-SEL</v>
      </c>
      <c r="B139" s="8" t="s">
        <v>336</v>
      </c>
      <c r="C139" s="8" t="s">
        <v>34</v>
      </c>
      <c r="D139" s="8" t="s">
        <v>38</v>
      </c>
      <c r="E139" s="8" t="s">
        <v>13</v>
      </c>
      <c r="F139" s="9">
        <v>42236.390277777777</v>
      </c>
      <c r="G139" s="10">
        <v>42488</v>
      </c>
      <c r="H139" s="10">
        <v>43948</v>
      </c>
      <c r="I139" s="8" t="s">
        <v>337</v>
      </c>
      <c r="J139" s="8" t="str">
        <f>"Southern, Sinazongwe"</f>
        <v>Southern, Sinazongwe</v>
      </c>
    </row>
    <row r="140" spans="1:10" x14ac:dyDescent="0.2">
      <c r="A140" s="1" t="str">
        <f>"20748-HQ-SEL"</f>
        <v>20748-HQ-SEL</v>
      </c>
      <c r="B140" s="5" t="s">
        <v>338</v>
      </c>
      <c r="C140" s="5" t="s">
        <v>34</v>
      </c>
      <c r="D140" s="5" t="s">
        <v>233</v>
      </c>
      <c r="E140" s="5" t="s">
        <v>13</v>
      </c>
      <c r="F140" s="6">
        <v>42236.477083333331</v>
      </c>
      <c r="G140" s="7">
        <v>42503</v>
      </c>
      <c r="H140" s="7">
        <v>43963</v>
      </c>
      <c r="I140" s="5" t="s">
        <v>339</v>
      </c>
      <c r="J140" s="5" t="str">
        <f>"Central, Mumbwa"</f>
        <v>Central, Mumbwa</v>
      </c>
    </row>
    <row r="141" spans="1:10" x14ac:dyDescent="0.2">
      <c r="A141" s="2" t="str">
        <f>"20749-HQ-SML"</f>
        <v>20749-HQ-SML</v>
      </c>
      <c r="B141" s="8" t="s">
        <v>340</v>
      </c>
      <c r="C141" s="8" t="s">
        <v>11</v>
      </c>
      <c r="D141" s="8" t="s">
        <v>341</v>
      </c>
      <c r="E141" s="8" t="s">
        <v>13</v>
      </c>
      <c r="F141" s="9">
        <v>42237.438993055555</v>
      </c>
      <c r="G141" s="10">
        <v>42458</v>
      </c>
      <c r="H141" s="10">
        <v>46109</v>
      </c>
      <c r="I141" s="8" t="s">
        <v>342</v>
      </c>
      <c r="J141" s="8" t="str">
        <f>"Eastern, Petauke"</f>
        <v>Eastern, Petauke</v>
      </c>
    </row>
    <row r="142" spans="1:10" x14ac:dyDescent="0.2">
      <c r="A142" s="1" t="str">
        <f>"20751-HQ-LEL"</f>
        <v>20751-HQ-LEL</v>
      </c>
      <c r="B142" s="5" t="s">
        <v>343</v>
      </c>
      <c r="C142" s="5" t="s">
        <v>15</v>
      </c>
      <c r="D142" s="5" t="s">
        <v>344</v>
      </c>
      <c r="E142" s="5" t="s">
        <v>13</v>
      </c>
      <c r="F142" s="6">
        <v>42237.455555555556</v>
      </c>
      <c r="G142" s="7">
        <v>42461</v>
      </c>
      <c r="H142" s="7">
        <v>43921</v>
      </c>
      <c r="I142" s="5" t="s">
        <v>345</v>
      </c>
      <c r="J142" s="5" t="str">
        <f>"Copperbelt, Lufwanyama, Mpongwe"</f>
        <v>Copperbelt, Lufwanyama, Mpongwe</v>
      </c>
    </row>
    <row r="143" spans="1:10" x14ac:dyDescent="0.2">
      <c r="A143" s="2" t="str">
        <f>"20752-HQ-LEL"</f>
        <v>20752-HQ-LEL</v>
      </c>
      <c r="B143" s="8" t="s">
        <v>346</v>
      </c>
      <c r="C143" s="8" t="s">
        <v>15</v>
      </c>
      <c r="D143" s="8" t="s">
        <v>347</v>
      </c>
      <c r="E143" s="8" t="s">
        <v>13</v>
      </c>
      <c r="F143" s="9">
        <v>42237.464583333334</v>
      </c>
      <c r="G143" s="10">
        <v>42465</v>
      </c>
      <c r="H143" s="10">
        <v>43925</v>
      </c>
      <c r="I143" s="8" t="s">
        <v>348</v>
      </c>
      <c r="J143" s="8" t="str">
        <f>"Copperbelt, Chililabombwe"</f>
        <v>Copperbelt, Chililabombwe</v>
      </c>
    </row>
    <row r="144" spans="1:10" x14ac:dyDescent="0.2">
      <c r="A144" s="1" t="str">
        <f>"20753-HQ-LEL"</f>
        <v>20753-HQ-LEL</v>
      </c>
      <c r="B144" s="5" t="s">
        <v>349</v>
      </c>
      <c r="C144" s="5" t="s">
        <v>15</v>
      </c>
      <c r="D144" s="5" t="s">
        <v>350</v>
      </c>
      <c r="E144" s="5" t="s">
        <v>13</v>
      </c>
      <c r="F144" s="6">
        <v>42240.413194444445</v>
      </c>
      <c r="G144" s="7">
        <v>42542</v>
      </c>
      <c r="H144" s="7">
        <v>44002</v>
      </c>
      <c r="I144" s="5" t="s">
        <v>351</v>
      </c>
      <c r="J144" s="5" t="str">
        <f>"Central, Mkushi; Eastern, Nyimba"</f>
        <v>Central, Mkushi; Eastern, Nyimba</v>
      </c>
    </row>
    <row r="145" spans="1:10" x14ac:dyDescent="0.2">
      <c r="A145" s="2" t="str">
        <f>"20755-HQ-AMR"</f>
        <v>20755-HQ-AMR</v>
      </c>
      <c r="B145" s="8" t="s">
        <v>352</v>
      </c>
      <c r="C145" s="8" t="s">
        <v>19</v>
      </c>
      <c r="D145" s="8" t="s">
        <v>353</v>
      </c>
      <c r="E145" s="8" t="s">
        <v>13</v>
      </c>
      <c r="F145" s="9">
        <v>42241.46597222222</v>
      </c>
      <c r="G145" s="10">
        <v>42513</v>
      </c>
      <c r="H145" s="10">
        <v>43242</v>
      </c>
      <c r="I145" s="8" t="s">
        <v>354</v>
      </c>
      <c r="J145" s="8" t="str">
        <f>"Copperbelt, Luanshya"</f>
        <v>Copperbelt, Luanshya</v>
      </c>
    </row>
    <row r="146" spans="1:10" x14ac:dyDescent="0.2">
      <c r="A146" s="1" t="str">
        <f>"20757-HQ-SEL"</f>
        <v>20757-HQ-SEL</v>
      </c>
      <c r="B146" s="5" t="s">
        <v>355</v>
      </c>
      <c r="C146" s="5" t="s">
        <v>34</v>
      </c>
      <c r="D146" s="5" t="s">
        <v>308</v>
      </c>
      <c r="E146" s="5" t="s">
        <v>55</v>
      </c>
      <c r="F146" s="6">
        <v>42241.509027777778</v>
      </c>
      <c r="G146" s="7">
        <v>42496</v>
      </c>
      <c r="H146" s="7">
        <v>43956</v>
      </c>
      <c r="I146" s="5" t="s">
        <v>356</v>
      </c>
      <c r="J146" s="5" t="str">
        <f>"North Western, Solwezi"</f>
        <v>North Western, Solwezi</v>
      </c>
    </row>
    <row r="147" spans="1:10" x14ac:dyDescent="0.2">
      <c r="A147" s="2" t="str">
        <f>"20759-HQ-LEL"</f>
        <v>20759-HQ-LEL</v>
      </c>
      <c r="B147" s="8" t="s">
        <v>357</v>
      </c>
      <c r="C147" s="8" t="s">
        <v>15</v>
      </c>
      <c r="D147" s="8" t="s">
        <v>38</v>
      </c>
      <c r="E147" s="8" t="s">
        <v>13</v>
      </c>
      <c r="F147" s="9">
        <v>42242.504861111112</v>
      </c>
      <c r="G147" s="10">
        <v>42495</v>
      </c>
      <c r="H147" s="10">
        <v>43955</v>
      </c>
      <c r="I147" s="8" t="s">
        <v>358</v>
      </c>
      <c r="J147" s="8" t="str">
        <f>"Southern, Gwembe"</f>
        <v>Southern, Gwembe</v>
      </c>
    </row>
    <row r="148" spans="1:10" x14ac:dyDescent="0.2">
      <c r="A148" s="1" t="str">
        <f>"20760-HQ-SEL"</f>
        <v>20760-HQ-SEL</v>
      </c>
      <c r="B148" s="5" t="s">
        <v>359</v>
      </c>
      <c r="C148" s="5" t="s">
        <v>34</v>
      </c>
      <c r="D148" s="5" t="s">
        <v>360</v>
      </c>
      <c r="E148" s="5" t="s">
        <v>13</v>
      </c>
      <c r="F148" s="6">
        <v>42242.508333333331</v>
      </c>
      <c r="G148" s="7">
        <v>42510</v>
      </c>
      <c r="H148" s="7">
        <v>43970</v>
      </c>
      <c r="I148" s="5" t="s">
        <v>361</v>
      </c>
      <c r="J148" s="5" t="str">
        <f>"Lusaka, Kafue"</f>
        <v>Lusaka, Kafue</v>
      </c>
    </row>
    <row r="149" spans="1:10" x14ac:dyDescent="0.2">
      <c r="A149" s="2" t="str">
        <f>"20762-HQ-SEL"</f>
        <v>20762-HQ-SEL</v>
      </c>
      <c r="B149" s="8" t="s">
        <v>362</v>
      </c>
      <c r="C149" s="8" t="s">
        <v>34</v>
      </c>
      <c r="D149" s="8" t="s">
        <v>363</v>
      </c>
      <c r="E149" s="8" t="s">
        <v>13</v>
      </c>
      <c r="F149" s="9">
        <v>42243.380555555559</v>
      </c>
      <c r="G149" s="10">
        <v>42471</v>
      </c>
      <c r="H149" s="10">
        <v>43931</v>
      </c>
      <c r="I149" s="8" t="s">
        <v>364</v>
      </c>
      <c r="J149" s="8" t="str">
        <f>"Eastern, Lundazi"</f>
        <v>Eastern, Lundazi</v>
      </c>
    </row>
    <row r="150" spans="1:10" x14ac:dyDescent="0.2">
      <c r="A150" s="1" t="str">
        <f>"20764-HQ-SEL"</f>
        <v>20764-HQ-SEL</v>
      </c>
      <c r="B150" s="5" t="s">
        <v>365</v>
      </c>
      <c r="C150" s="5" t="s">
        <v>34</v>
      </c>
      <c r="D150" s="5" t="s">
        <v>366</v>
      </c>
      <c r="E150" s="5" t="s">
        <v>13</v>
      </c>
      <c r="F150" s="6">
        <v>42243.390277777777</v>
      </c>
      <c r="G150" s="7">
        <v>42500</v>
      </c>
      <c r="H150" s="7">
        <v>43960</v>
      </c>
      <c r="I150" s="5" t="s">
        <v>367</v>
      </c>
      <c r="J150" s="5" t="str">
        <f>"Central, Mkushi"</f>
        <v>Central, Mkushi</v>
      </c>
    </row>
    <row r="151" spans="1:10" x14ac:dyDescent="0.2">
      <c r="A151" s="2" t="str">
        <f>"20767-HQ-AMR"</f>
        <v>20767-HQ-AMR</v>
      </c>
      <c r="B151" s="8" t="s">
        <v>368</v>
      </c>
      <c r="C151" s="8" t="s">
        <v>19</v>
      </c>
      <c r="D151" s="8" t="s">
        <v>369</v>
      </c>
      <c r="E151" s="8" t="s">
        <v>72</v>
      </c>
      <c r="F151" s="9">
        <v>42244.410416666666</v>
      </c>
      <c r="G151" s="10">
        <v>42496</v>
      </c>
      <c r="H151" s="10">
        <v>43225</v>
      </c>
      <c r="I151" s="8" t="s">
        <v>370</v>
      </c>
      <c r="J151" s="8" t="str">
        <f>"Eastern, Mambwe"</f>
        <v>Eastern, Mambwe</v>
      </c>
    </row>
    <row r="152" spans="1:10" x14ac:dyDescent="0.2">
      <c r="A152" s="1" t="str">
        <f>"20769-HQ-SEL"</f>
        <v>20769-HQ-SEL</v>
      </c>
      <c r="B152" s="5" t="s">
        <v>371</v>
      </c>
      <c r="C152" s="5" t="s">
        <v>34</v>
      </c>
      <c r="D152" s="5" t="s">
        <v>372</v>
      </c>
      <c r="E152" s="5" t="s">
        <v>13</v>
      </c>
      <c r="F152" s="6">
        <v>42408.375462962962</v>
      </c>
      <c r="G152" s="7">
        <v>42531</v>
      </c>
      <c r="H152" s="7">
        <v>43991</v>
      </c>
      <c r="I152" s="5" t="s">
        <v>373</v>
      </c>
      <c r="J152" s="5" t="str">
        <f>"Lusaka, Kafue"</f>
        <v>Lusaka, Kafue</v>
      </c>
    </row>
    <row r="153" spans="1:10" x14ac:dyDescent="0.2">
      <c r="A153" s="2" t="str">
        <f>"20770-HQ-SEL"</f>
        <v>20770-HQ-SEL</v>
      </c>
      <c r="B153" s="8" t="s">
        <v>374</v>
      </c>
      <c r="C153" s="8" t="s">
        <v>34</v>
      </c>
      <c r="D153" s="8" t="s">
        <v>375</v>
      </c>
      <c r="E153" s="8" t="s">
        <v>13</v>
      </c>
      <c r="F153" s="9">
        <v>42408.376388888886</v>
      </c>
      <c r="G153" s="10">
        <v>42500</v>
      </c>
      <c r="H153" s="10">
        <v>43960</v>
      </c>
      <c r="I153" s="8" t="s">
        <v>376</v>
      </c>
      <c r="J153" s="8" t="str">
        <f>"Lusaka, Kafue"</f>
        <v>Lusaka, Kafue</v>
      </c>
    </row>
    <row r="154" spans="1:10" x14ac:dyDescent="0.2">
      <c r="A154" s="1" t="str">
        <f>"20776-HQ-LEL"</f>
        <v>20776-HQ-LEL</v>
      </c>
      <c r="B154" s="5" t="s">
        <v>377</v>
      </c>
      <c r="C154" s="5" t="s">
        <v>15</v>
      </c>
      <c r="D154" s="5" t="s">
        <v>378</v>
      </c>
      <c r="E154" s="5" t="s">
        <v>13</v>
      </c>
      <c r="F154" s="6">
        <v>42408.382638888892</v>
      </c>
      <c r="G154" s="7">
        <v>42600</v>
      </c>
      <c r="H154" s="7">
        <v>44060</v>
      </c>
      <c r="I154" s="5" t="s">
        <v>379</v>
      </c>
      <c r="J154" s="5" t="str">
        <f>"Eastern, Lundazi"</f>
        <v>Eastern, Lundazi</v>
      </c>
    </row>
    <row r="155" spans="1:10" x14ac:dyDescent="0.2">
      <c r="A155" s="2" t="str">
        <f>"20780-HQ-LEL"</f>
        <v>20780-HQ-LEL</v>
      </c>
      <c r="B155" s="8" t="s">
        <v>380</v>
      </c>
      <c r="C155" s="8" t="s">
        <v>15</v>
      </c>
      <c r="D155" s="8" t="s">
        <v>381</v>
      </c>
      <c r="E155" s="8" t="s">
        <v>13</v>
      </c>
      <c r="F155" s="9">
        <v>42408.388888888891</v>
      </c>
      <c r="G155" s="10">
        <v>42600</v>
      </c>
      <c r="H155" s="10">
        <v>44060</v>
      </c>
      <c r="I155" s="8" t="s">
        <v>382</v>
      </c>
      <c r="J155" s="8" t="str">
        <f>"Central, Chibombo, Mkushi; Lusaka, Chongwe"</f>
        <v>Central, Chibombo, Mkushi; Lusaka, Chongwe</v>
      </c>
    </row>
    <row r="156" spans="1:10" x14ac:dyDescent="0.2">
      <c r="A156" s="1" t="str">
        <f>"20781-HQ-SEL"</f>
        <v>20781-HQ-SEL</v>
      </c>
      <c r="B156" s="5" t="s">
        <v>383</v>
      </c>
      <c r="C156" s="5" t="s">
        <v>34</v>
      </c>
      <c r="D156" s="5" t="s">
        <v>384</v>
      </c>
      <c r="E156" s="5" t="s">
        <v>13</v>
      </c>
      <c r="F156" s="6">
        <v>42408.390277777777</v>
      </c>
      <c r="G156" s="7">
        <v>42502</v>
      </c>
      <c r="H156" s="7">
        <v>43962</v>
      </c>
      <c r="I156" s="5" t="s">
        <v>385</v>
      </c>
      <c r="J156" s="5" t="str">
        <f>"Eastern, Katete"</f>
        <v>Eastern, Katete</v>
      </c>
    </row>
    <row r="157" spans="1:10" x14ac:dyDescent="0.2">
      <c r="A157" s="2" t="str">
        <f>"20782-HQ-SEL"</f>
        <v>20782-HQ-SEL</v>
      </c>
      <c r="B157" s="8" t="s">
        <v>383</v>
      </c>
      <c r="C157" s="8" t="s">
        <v>34</v>
      </c>
      <c r="D157" s="8" t="s">
        <v>384</v>
      </c>
      <c r="E157" s="8" t="s">
        <v>13</v>
      </c>
      <c r="F157" s="9">
        <v>42408.39166666667</v>
      </c>
      <c r="G157" s="10">
        <v>42502</v>
      </c>
      <c r="H157" s="10">
        <v>43962</v>
      </c>
      <c r="I157" s="8" t="s">
        <v>386</v>
      </c>
      <c r="J157" s="8" t="str">
        <f>"Eastern, Katete"</f>
        <v>Eastern, Katete</v>
      </c>
    </row>
    <row r="158" spans="1:10" x14ac:dyDescent="0.2">
      <c r="A158" s="1" t="str">
        <f>"20783-HQ-SEL"</f>
        <v>20783-HQ-SEL</v>
      </c>
      <c r="B158" s="5" t="s">
        <v>383</v>
      </c>
      <c r="C158" s="5" t="s">
        <v>34</v>
      </c>
      <c r="D158" s="5" t="s">
        <v>387</v>
      </c>
      <c r="E158" s="5" t="s">
        <v>13</v>
      </c>
      <c r="F158" s="6">
        <v>42408.393055555556</v>
      </c>
      <c r="G158" s="7">
        <v>42530</v>
      </c>
      <c r="H158" s="7">
        <v>43990</v>
      </c>
      <c r="I158" s="5" t="s">
        <v>388</v>
      </c>
      <c r="J158" s="5" t="str">
        <f>"Eastern, Katete"</f>
        <v>Eastern, Katete</v>
      </c>
    </row>
    <row r="159" spans="1:10" x14ac:dyDescent="0.2">
      <c r="A159" s="2" t="str">
        <f>"20784-HQ-SEL"</f>
        <v>20784-HQ-SEL</v>
      </c>
      <c r="B159" s="8" t="s">
        <v>383</v>
      </c>
      <c r="C159" s="8" t="s">
        <v>34</v>
      </c>
      <c r="D159" s="8" t="s">
        <v>389</v>
      </c>
      <c r="E159" s="8" t="s">
        <v>13</v>
      </c>
      <c r="F159" s="9">
        <v>42408.394444444442</v>
      </c>
      <c r="G159" s="10">
        <v>42530</v>
      </c>
      <c r="H159" s="10">
        <v>43990</v>
      </c>
      <c r="I159" s="8" t="s">
        <v>390</v>
      </c>
      <c r="J159" s="8" t="str">
        <f>"Eastern, Katete"</f>
        <v>Eastern, Katete</v>
      </c>
    </row>
    <row r="160" spans="1:10" x14ac:dyDescent="0.2">
      <c r="A160" s="1" t="str">
        <f>"20785-HQ-SEL"</f>
        <v>20785-HQ-SEL</v>
      </c>
      <c r="B160" s="5" t="s">
        <v>383</v>
      </c>
      <c r="C160" s="5" t="s">
        <v>34</v>
      </c>
      <c r="D160" s="5" t="s">
        <v>391</v>
      </c>
      <c r="E160" s="5" t="s">
        <v>13</v>
      </c>
      <c r="F160" s="6">
        <v>42408.395833333336</v>
      </c>
      <c r="G160" s="7">
        <v>42530</v>
      </c>
      <c r="H160" s="7">
        <v>43990</v>
      </c>
      <c r="I160" s="5" t="s">
        <v>392</v>
      </c>
      <c r="J160" s="5" t="str">
        <f>"Northern, Nakonde"</f>
        <v>Northern, Nakonde</v>
      </c>
    </row>
    <row r="161" spans="1:10" x14ac:dyDescent="0.2">
      <c r="A161" s="2" t="str">
        <f>"20787-HQ-LEL"</f>
        <v>20787-HQ-LEL</v>
      </c>
      <c r="B161" s="8" t="s">
        <v>393</v>
      </c>
      <c r="C161" s="8" t="s">
        <v>15</v>
      </c>
      <c r="D161" s="8" t="s">
        <v>394</v>
      </c>
      <c r="E161" s="8" t="s">
        <v>13</v>
      </c>
      <c r="F161" s="9">
        <v>42408.4</v>
      </c>
      <c r="G161" s="10">
        <v>42604</v>
      </c>
      <c r="H161" s="10">
        <v>44064</v>
      </c>
      <c r="I161" s="8" t="s">
        <v>395</v>
      </c>
      <c r="J161" s="8" t="str">
        <f>"Eastern, Katete, Petauke"</f>
        <v>Eastern, Katete, Petauke</v>
      </c>
    </row>
    <row r="162" spans="1:10" x14ac:dyDescent="0.2">
      <c r="A162" s="1" t="str">
        <f>"20788-HQ-LEL"</f>
        <v>20788-HQ-LEL</v>
      </c>
      <c r="B162" s="5" t="s">
        <v>393</v>
      </c>
      <c r="C162" s="5" t="s">
        <v>15</v>
      </c>
      <c r="D162" s="5" t="s">
        <v>396</v>
      </c>
      <c r="E162" s="5" t="s">
        <v>13</v>
      </c>
      <c r="F162" s="6">
        <v>42408.401388888888</v>
      </c>
      <c r="G162" s="7">
        <v>42699</v>
      </c>
      <c r="H162" s="7">
        <v>44159</v>
      </c>
      <c r="I162" s="5" t="s">
        <v>397</v>
      </c>
      <c r="J162" s="5" t="str">
        <f>"Eastern, Chama, Lundazi"</f>
        <v>Eastern, Chama, Lundazi</v>
      </c>
    </row>
    <row r="163" spans="1:10" x14ac:dyDescent="0.2">
      <c r="A163" s="2" t="str">
        <f>"20789-HQ-LEL"</f>
        <v>20789-HQ-LEL</v>
      </c>
      <c r="B163" s="8" t="s">
        <v>393</v>
      </c>
      <c r="C163" s="8" t="s">
        <v>15</v>
      </c>
      <c r="D163" s="8" t="s">
        <v>389</v>
      </c>
      <c r="E163" s="8" t="s">
        <v>13</v>
      </c>
      <c r="F163" s="9">
        <v>42408.402777777781</v>
      </c>
      <c r="G163" s="10">
        <v>42523</v>
      </c>
      <c r="H163" s="10">
        <v>43983</v>
      </c>
      <c r="I163" s="8" t="s">
        <v>398</v>
      </c>
      <c r="J163" s="8" t="str">
        <f>"Central, Mkushi; Lusaka, Chongwe"</f>
        <v>Central, Mkushi; Lusaka, Chongwe</v>
      </c>
    </row>
    <row r="164" spans="1:10" x14ac:dyDescent="0.2">
      <c r="A164" s="1" t="str">
        <f>"20790-HQ-LEL"</f>
        <v>20790-HQ-LEL</v>
      </c>
      <c r="B164" s="5" t="s">
        <v>399</v>
      </c>
      <c r="C164" s="5" t="s">
        <v>15</v>
      </c>
      <c r="D164" s="5" t="s">
        <v>400</v>
      </c>
      <c r="E164" s="5" t="s">
        <v>13</v>
      </c>
      <c r="F164" s="6">
        <v>42408.404166666667</v>
      </c>
      <c r="G164" s="7">
        <v>42569</v>
      </c>
      <c r="H164" s="7">
        <v>44029</v>
      </c>
      <c r="I164" s="5" t="s">
        <v>401</v>
      </c>
      <c r="J164" s="5" t="str">
        <f>"North Western, Mwinilunga"</f>
        <v>North Western, Mwinilunga</v>
      </c>
    </row>
    <row r="165" spans="1:10" x14ac:dyDescent="0.2">
      <c r="A165" s="2" t="str">
        <f>"20798-HQ-LEL"</f>
        <v>20798-HQ-LEL</v>
      </c>
      <c r="B165" s="8" t="s">
        <v>402</v>
      </c>
      <c r="C165" s="8" t="s">
        <v>15</v>
      </c>
      <c r="D165" s="8" t="s">
        <v>403</v>
      </c>
      <c r="E165" s="8" t="s">
        <v>13</v>
      </c>
      <c r="F165" s="9">
        <v>42408.416666666664</v>
      </c>
      <c r="G165" s="10">
        <v>42577</v>
      </c>
      <c r="H165" s="10">
        <v>44037</v>
      </c>
      <c r="I165" s="8" t="s">
        <v>404</v>
      </c>
      <c r="J165" s="8" t="str">
        <f>"North Western, Mwinilunga"</f>
        <v>North Western, Mwinilunga</v>
      </c>
    </row>
    <row r="166" spans="1:10" x14ac:dyDescent="0.2">
      <c r="A166" s="1" t="str">
        <f>"20799-HQ-LEL"</f>
        <v>20799-HQ-LEL</v>
      </c>
      <c r="B166" s="5" t="s">
        <v>402</v>
      </c>
      <c r="C166" s="5" t="s">
        <v>15</v>
      </c>
      <c r="D166" s="5" t="s">
        <v>405</v>
      </c>
      <c r="E166" s="5" t="s">
        <v>13</v>
      </c>
      <c r="F166" s="6">
        <v>42408.418275462966</v>
      </c>
      <c r="G166" s="7">
        <v>42527</v>
      </c>
      <c r="H166" s="7">
        <v>43987</v>
      </c>
      <c r="I166" s="5" t="s">
        <v>406</v>
      </c>
      <c r="J166" s="5" t="str">
        <f>"Southern, Sinazongwe"</f>
        <v>Southern, Sinazongwe</v>
      </c>
    </row>
    <row r="167" spans="1:10" x14ac:dyDescent="0.2">
      <c r="A167" s="2" t="str">
        <f>"20801-HQ-SEL"</f>
        <v>20801-HQ-SEL</v>
      </c>
      <c r="B167" s="8" t="s">
        <v>407</v>
      </c>
      <c r="C167" s="8" t="s">
        <v>34</v>
      </c>
      <c r="D167" s="8" t="s">
        <v>45</v>
      </c>
      <c r="E167" s="8" t="s">
        <v>13</v>
      </c>
      <c r="F167" s="9">
        <v>42408.42083333333</v>
      </c>
      <c r="G167" s="10">
        <v>42550</v>
      </c>
      <c r="H167" s="10">
        <v>44010</v>
      </c>
      <c r="I167" s="8" t="s">
        <v>408</v>
      </c>
      <c r="J167" s="8" t="str">
        <f>"Southern, Choma"</f>
        <v>Southern, Choma</v>
      </c>
    </row>
    <row r="168" spans="1:10" x14ac:dyDescent="0.2">
      <c r="A168" s="1" t="str">
        <f>"20805-HQ-LEL"</f>
        <v>20805-HQ-LEL</v>
      </c>
      <c r="B168" s="5" t="s">
        <v>409</v>
      </c>
      <c r="C168" s="5" t="s">
        <v>15</v>
      </c>
      <c r="D168" s="5" t="s">
        <v>350</v>
      </c>
      <c r="E168" s="5" t="s">
        <v>13</v>
      </c>
      <c r="F168" s="6">
        <v>42408.427083333336</v>
      </c>
      <c r="G168" s="7">
        <v>42550</v>
      </c>
      <c r="H168" s="7">
        <v>44010</v>
      </c>
      <c r="I168" s="5" t="s">
        <v>410</v>
      </c>
      <c r="J168" s="5" t="str">
        <f>"Central, Mumbwa"</f>
        <v>Central, Mumbwa</v>
      </c>
    </row>
    <row r="169" spans="1:10" x14ac:dyDescent="0.2">
      <c r="A169" s="2" t="str">
        <f>"20809-HQ-LML"</f>
        <v>20809-HQ-LML</v>
      </c>
      <c r="B169" s="8" t="s">
        <v>411</v>
      </c>
      <c r="C169" s="8" t="s">
        <v>37</v>
      </c>
      <c r="D169" s="8" t="s">
        <v>60</v>
      </c>
      <c r="E169" s="8" t="s">
        <v>13</v>
      </c>
      <c r="F169" s="9">
        <v>42408.434027777781</v>
      </c>
      <c r="G169" s="10">
        <v>42471</v>
      </c>
      <c r="H169" s="10">
        <v>51601</v>
      </c>
      <c r="I169" s="8" t="s">
        <v>2228</v>
      </c>
      <c r="J169" s="8" t="str">
        <f>"Central, Kapiri Mposhi, Mkushi"</f>
        <v>Central, Kapiri Mposhi, Mkushi</v>
      </c>
    </row>
    <row r="170" spans="1:10" x14ac:dyDescent="0.2">
      <c r="A170" s="1" t="str">
        <f>"20811-HQ-LEL"</f>
        <v>20811-HQ-LEL</v>
      </c>
      <c r="B170" s="5" t="s">
        <v>412</v>
      </c>
      <c r="C170" s="5" t="s">
        <v>15</v>
      </c>
      <c r="D170" s="5" t="s">
        <v>413</v>
      </c>
      <c r="E170" s="5" t="s">
        <v>13</v>
      </c>
      <c r="F170" s="6">
        <v>42408.436805555553</v>
      </c>
      <c r="G170" s="7">
        <v>42530</v>
      </c>
      <c r="H170" s="7">
        <v>43990</v>
      </c>
      <c r="I170" s="5" t="s">
        <v>414</v>
      </c>
      <c r="J170" s="5" t="str">
        <f>"Central, Mumbwa"</f>
        <v>Central, Mumbwa</v>
      </c>
    </row>
    <row r="171" spans="1:10" x14ac:dyDescent="0.2">
      <c r="A171" s="2" t="str">
        <f>"20812-HQ-AMR"</f>
        <v>20812-HQ-AMR</v>
      </c>
      <c r="B171" s="8" t="s">
        <v>415</v>
      </c>
      <c r="C171" s="8" t="s">
        <v>19</v>
      </c>
      <c r="D171" s="8" t="s">
        <v>416</v>
      </c>
      <c r="E171" s="8" t="s">
        <v>13</v>
      </c>
      <c r="F171" s="9">
        <v>42408.438194444447</v>
      </c>
      <c r="G171" s="10">
        <v>42521</v>
      </c>
      <c r="H171" s="10">
        <v>43250</v>
      </c>
      <c r="I171" s="8" t="s">
        <v>417</v>
      </c>
      <c r="J171" s="8" t="str">
        <f>"Central, Mkushi"</f>
        <v>Central, Mkushi</v>
      </c>
    </row>
    <row r="172" spans="1:10" x14ac:dyDescent="0.2">
      <c r="A172" s="1" t="str">
        <f>"20814-HQ-LEL"</f>
        <v>20814-HQ-LEL</v>
      </c>
      <c r="B172" s="5" t="s">
        <v>418</v>
      </c>
      <c r="C172" s="5" t="s">
        <v>15</v>
      </c>
      <c r="D172" s="5" t="s">
        <v>419</v>
      </c>
      <c r="E172" s="5" t="s">
        <v>13</v>
      </c>
      <c r="F172" s="6">
        <v>42408.440972222219</v>
      </c>
      <c r="G172" s="7">
        <v>42586</v>
      </c>
      <c r="H172" s="7">
        <v>44046</v>
      </c>
      <c r="I172" s="5" t="s">
        <v>420</v>
      </c>
      <c r="J172" s="5" t="str">
        <f>"North Western, Kasempa"</f>
        <v>North Western, Kasempa</v>
      </c>
    </row>
    <row r="173" spans="1:10" x14ac:dyDescent="0.2">
      <c r="A173" s="2" t="str">
        <f>"20815-HQ-LEL"</f>
        <v>20815-HQ-LEL</v>
      </c>
      <c r="B173" s="8" t="s">
        <v>421</v>
      </c>
      <c r="C173" s="8" t="s">
        <v>15</v>
      </c>
      <c r="D173" s="8" t="s">
        <v>422</v>
      </c>
      <c r="E173" s="8" t="s">
        <v>13</v>
      </c>
      <c r="F173" s="9">
        <v>42408.442361111112</v>
      </c>
      <c r="G173" s="10">
        <v>42528</v>
      </c>
      <c r="H173" s="10">
        <v>43988</v>
      </c>
      <c r="I173" s="8" t="s">
        <v>423</v>
      </c>
      <c r="J173" s="8" t="str">
        <f>"North Western, Chavuma, Zambezi"</f>
        <v>North Western, Chavuma, Zambezi</v>
      </c>
    </row>
    <row r="174" spans="1:10" x14ac:dyDescent="0.2">
      <c r="A174" s="1" t="str">
        <f>"20816-HQ-LEL"</f>
        <v>20816-HQ-LEL</v>
      </c>
      <c r="B174" s="5" t="s">
        <v>424</v>
      </c>
      <c r="C174" s="5" t="s">
        <v>15</v>
      </c>
      <c r="D174" s="5" t="s">
        <v>425</v>
      </c>
      <c r="E174" s="5" t="s">
        <v>138</v>
      </c>
      <c r="F174" s="6">
        <v>42408.443749999999</v>
      </c>
      <c r="G174" s="7">
        <v>42566</v>
      </c>
      <c r="H174" s="7">
        <v>44026</v>
      </c>
      <c r="I174" s="5" t="s">
        <v>2229</v>
      </c>
      <c r="J174" s="5" t="str">
        <f>"North Western, Kabompo, Zambezi"</f>
        <v>North Western, Kabompo, Zambezi</v>
      </c>
    </row>
    <row r="175" spans="1:10" x14ac:dyDescent="0.2">
      <c r="A175" s="2" t="str">
        <f>"20817-HQ-LEL"</f>
        <v>20817-HQ-LEL</v>
      </c>
      <c r="B175" s="8" t="s">
        <v>424</v>
      </c>
      <c r="C175" s="8" t="s">
        <v>15</v>
      </c>
      <c r="D175" s="8" t="s">
        <v>422</v>
      </c>
      <c r="E175" s="8" t="s">
        <v>138</v>
      </c>
      <c r="F175" s="9">
        <v>42408.445752314816</v>
      </c>
      <c r="G175" s="10">
        <v>42566</v>
      </c>
      <c r="H175" s="10">
        <v>44026</v>
      </c>
      <c r="I175" s="8" t="s">
        <v>426</v>
      </c>
      <c r="J175" s="8" t="str">
        <f>"North Western, Kabompo, Zambezi"</f>
        <v>North Western, Kabompo, Zambezi</v>
      </c>
    </row>
    <row r="176" spans="1:10" x14ac:dyDescent="0.2">
      <c r="A176" s="1" t="str">
        <f>"20818-HQ-LEL"</f>
        <v>20818-HQ-LEL</v>
      </c>
      <c r="B176" s="5" t="s">
        <v>424</v>
      </c>
      <c r="C176" s="5" t="s">
        <v>15</v>
      </c>
      <c r="D176" s="5" t="s">
        <v>422</v>
      </c>
      <c r="E176" s="5" t="s">
        <v>13</v>
      </c>
      <c r="F176" s="6">
        <v>42408.446527777778</v>
      </c>
      <c r="G176" s="7">
        <v>42566</v>
      </c>
      <c r="H176" s="7">
        <v>44026</v>
      </c>
      <c r="I176" s="5" t="s">
        <v>427</v>
      </c>
      <c r="J176" s="5" t="str">
        <f>"North Western, Chavuma, Zambezi"</f>
        <v>North Western, Chavuma, Zambezi</v>
      </c>
    </row>
    <row r="177" spans="1:10" x14ac:dyDescent="0.2">
      <c r="A177" s="2" t="str">
        <f>"20819-HQ-LEL"</f>
        <v>20819-HQ-LEL</v>
      </c>
      <c r="B177" s="8" t="s">
        <v>424</v>
      </c>
      <c r="C177" s="8" t="s">
        <v>15</v>
      </c>
      <c r="D177" s="8" t="s">
        <v>428</v>
      </c>
      <c r="E177" s="8" t="s">
        <v>13</v>
      </c>
      <c r="F177" s="9">
        <v>42408.53125</v>
      </c>
      <c r="G177" s="10">
        <v>42566</v>
      </c>
      <c r="H177" s="10">
        <v>44026</v>
      </c>
      <c r="I177" s="8" t="s">
        <v>429</v>
      </c>
      <c r="J177" s="8" t="str">
        <f>"North Western, Chavuma, Zambezi"</f>
        <v>North Western, Chavuma, Zambezi</v>
      </c>
    </row>
    <row r="178" spans="1:10" x14ac:dyDescent="0.2">
      <c r="A178" s="1" t="str">
        <f>"20820-HQ-LEL"</f>
        <v>20820-HQ-LEL</v>
      </c>
      <c r="B178" s="5" t="s">
        <v>424</v>
      </c>
      <c r="C178" s="5" t="s">
        <v>15</v>
      </c>
      <c r="D178" s="5" t="s">
        <v>430</v>
      </c>
      <c r="E178" s="5" t="s">
        <v>13</v>
      </c>
      <c r="F178" s="6">
        <v>42408.449444444443</v>
      </c>
      <c r="G178" s="7">
        <v>42566</v>
      </c>
      <c r="H178" s="7">
        <v>44026</v>
      </c>
      <c r="I178" s="5" t="s">
        <v>431</v>
      </c>
      <c r="J178" s="5" t="str">
        <f>"North Western, Zambezi"</f>
        <v>North Western, Zambezi</v>
      </c>
    </row>
    <row r="179" spans="1:10" x14ac:dyDescent="0.2">
      <c r="A179" s="2" t="str">
        <f>"20823-HQ-LEL"</f>
        <v>20823-HQ-LEL</v>
      </c>
      <c r="B179" s="8" t="s">
        <v>432</v>
      </c>
      <c r="C179" s="8" t="s">
        <v>15</v>
      </c>
      <c r="D179" s="8" t="s">
        <v>102</v>
      </c>
      <c r="E179" s="8" t="s">
        <v>13</v>
      </c>
      <c r="F179" s="9">
        <v>42408.45416666667</v>
      </c>
      <c r="G179" s="10">
        <v>42535</v>
      </c>
      <c r="H179" s="10">
        <v>43995</v>
      </c>
      <c r="I179" s="8" t="s">
        <v>433</v>
      </c>
      <c r="J179" s="8" t="str">
        <f>"North Western, Solwezi"</f>
        <v>North Western, Solwezi</v>
      </c>
    </row>
    <row r="180" spans="1:10" x14ac:dyDescent="0.2">
      <c r="A180" s="1" t="str">
        <f>"20824-HQ-LEL"</f>
        <v>20824-HQ-LEL</v>
      </c>
      <c r="B180" s="5" t="s">
        <v>434</v>
      </c>
      <c r="C180" s="5" t="s">
        <v>15</v>
      </c>
      <c r="D180" s="5" t="s">
        <v>435</v>
      </c>
      <c r="E180" s="5" t="s">
        <v>13</v>
      </c>
      <c r="F180" s="6">
        <v>42408.459780092591</v>
      </c>
      <c r="G180" s="7">
        <v>42634</v>
      </c>
      <c r="H180" s="7">
        <v>44094</v>
      </c>
      <c r="I180" s="5" t="s">
        <v>436</v>
      </c>
      <c r="J180" s="5" t="str">
        <f>"Lusaka, Chongwe, Luangwa"</f>
        <v>Lusaka, Chongwe, Luangwa</v>
      </c>
    </row>
    <row r="181" spans="1:10" x14ac:dyDescent="0.2">
      <c r="A181" s="2" t="str">
        <f>"20826-HQ-LEL"</f>
        <v>20826-HQ-LEL</v>
      </c>
      <c r="B181" s="8" t="s">
        <v>437</v>
      </c>
      <c r="C181" s="8" t="s">
        <v>15</v>
      </c>
      <c r="D181" s="8" t="s">
        <v>51</v>
      </c>
      <c r="E181" s="8" t="s">
        <v>13</v>
      </c>
      <c r="F181" s="9">
        <v>42408.465277777781</v>
      </c>
      <c r="G181" s="10">
        <v>42629</v>
      </c>
      <c r="H181" s="10">
        <v>44089</v>
      </c>
      <c r="I181" s="8" t="s">
        <v>438</v>
      </c>
      <c r="J181" s="8" t="str">
        <f>"Southern, Kazungula; Western, Sesheke"</f>
        <v>Southern, Kazungula; Western, Sesheke</v>
      </c>
    </row>
    <row r="182" spans="1:10" x14ac:dyDescent="0.2">
      <c r="A182" s="1" t="str">
        <f>"20827-HQ-LEL"</f>
        <v>20827-HQ-LEL</v>
      </c>
      <c r="B182" s="5" t="s">
        <v>439</v>
      </c>
      <c r="C182" s="5" t="s">
        <v>15</v>
      </c>
      <c r="D182" s="5" t="s">
        <v>51</v>
      </c>
      <c r="E182" s="5" t="s">
        <v>13</v>
      </c>
      <c r="F182" s="6">
        <v>42408.466666666667</v>
      </c>
      <c r="G182" s="7">
        <v>42531</v>
      </c>
      <c r="H182" s="7">
        <v>43991</v>
      </c>
      <c r="I182" s="5" t="s">
        <v>2230</v>
      </c>
      <c r="J182" s="5" t="str">
        <f>"Southern, Kazungula; Western, Sesheke"</f>
        <v>Southern, Kazungula; Western, Sesheke</v>
      </c>
    </row>
    <row r="183" spans="1:10" x14ac:dyDescent="0.2">
      <c r="A183" s="2" t="str">
        <f>"20828-HQ-LEL"</f>
        <v>20828-HQ-LEL</v>
      </c>
      <c r="B183" s="8" t="s">
        <v>439</v>
      </c>
      <c r="C183" s="8" t="s">
        <v>15</v>
      </c>
      <c r="D183" s="8" t="s">
        <v>51</v>
      </c>
      <c r="E183" s="8" t="s">
        <v>13</v>
      </c>
      <c r="F183" s="9">
        <v>42408.468055555553</v>
      </c>
      <c r="G183" s="10">
        <v>42584</v>
      </c>
      <c r="H183" s="10">
        <v>44044</v>
      </c>
      <c r="I183" s="8" t="s">
        <v>440</v>
      </c>
      <c r="J183" s="8" t="str">
        <f>"Southern, Kazungula; Western, Sesheke"</f>
        <v>Southern, Kazungula; Western, Sesheke</v>
      </c>
    </row>
    <row r="184" spans="1:10" x14ac:dyDescent="0.2">
      <c r="A184" s="1" t="str">
        <f>"20829-HQ-LEL"</f>
        <v>20829-HQ-LEL</v>
      </c>
      <c r="B184" s="5" t="s">
        <v>439</v>
      </c>
      <c r="C184" s="5" t="s">
        <v>15</v>
      </c>
      <c r="D184" s="5" t="s">
        <v>51</v>
      </c>
      <c r="E184" s="5" t="s">
        <v>13</v>
      </c>
      <c r="F184" s="6">
        <v>42408.511296296296</v>
      </c>
      <c r="G184" s="7">
        <v>42531</v>
      </c>
      <c r="H184" s="7">
        <v>43991</v>
      </c>
      <c r="I184" s="5" t="s">
        <v>441</v>
      </c>
      <c r="J184" s="5" t="str">
        <f>"Southern, Kazungula; Western, Sesheke"</f>
        <v>Southern, Kazungula; Western, Sesheke</v>
      </c>
    </row>
    <row r="185" spans="1:10" x14ac:dyDescent="0.2">
      <c r="A185" s="2" t="str">
        <f>"20835-HQ-LEL"</f>
        <v>20835-HQ-LEL</v>
      </c>
      <c r="B185" s="8" t="s">
        <v>442</v>
      </c>
      <c r="C185" s="8" t="s">
        <v>15</v>
      </c>
      <c r="D185" s="8" t="s">
        <v>443</v>
      </c>
      <c r="E185" s="8" t="s">
        <v>13</v>
      </c>
      <c r="F185" s="9">
        <v>42408.480729166666</v>
      </c>
      <c r="G185" s="10">
        <v>42598</v>
      </c>
      <c r="H185" s="10">
        <v>44058</v>
      </c>
      <c r="I185" s="8" t="s">
        <v>444</v>
      </c>
      <c r="J185" s="8" t="str">
        <f>"Copperbelt, Chililabombwe, Chingola"</f>
        <v>Copperbelt, Chililabombwe, Chingola</v>
      </c>
    </row>
    <row r="186" spans="1:10" x14ac:dyDescent="0.2">
      <c r="A186" s="1" t="str">
        <f>"20836-HQ-LEL"</f>
        <v>20836-HQ-LEL</v>
      </c>
      <c r="B186" s="5" t="s">
        <v>445</v>
      </c>
      <c r="C186" s="5" t="s">
        <v>15</v>
      </c>
      <c r="D186" s="5" t="s">
        <v>446</v>
      </c>
      <c r="E186" s="5" t="s">
        <v>13</v>
      </c>
      <c r="F186" s="6">
        <v>42408.482638888891</v>
      </c>
      <c r="G186" s="7">
        <v>42509</v>
      </c>
      <c r="H186" s="7">
        <v>43969</v>
      </c>
      <c r="I186" s="5" t="s">
        <v>447</v>
      </c>
      <c r="J186" s="5" t="str">
        <f>"Central, Chibombo, Kabwe, Kapiri Mposhi"</f>
        <v>Central, Chibombo, Kabwe, Kapiri Mposhi</v>
      </c>
    </row>
    <row r="187" spans="1:10" x14ac:dyDescent="0.2">
      <c r="A187" s="2" t="str">
        <f>"20838-HQ-LEL"</f>
        <v>20838-HQ-LEL</v>
      </c>
      <c r="B187" s="8" t="s">
        <v>136</v>
      </c>
      <c r="C187" s="8" t="s">
        <v>15</v>
      </c>
      <c r="D187" s="8" t="s">
        <v>448</v>
      </c>
      <c r="E187" s="8" t="s">
        <v>13</v>
      </c>
      <c r="F187" s="9">
        <v>42408.486168981479</v>
      </c>
      <c r="G187" s="10">
        <v>42516</v>
      </c>
      <c r="H187" s="10">
        <v>43976</v>
      </c>
      <c r="I187" s="8" t="s">
        <v>449</v>
      </c>
      <c r="J187" s="8" t="str">
        <f>"North Western, Solwezi"</f>
        <v>North Western, Solwezi</v>
      </c>
    </row>
    <row r="188" spans="1:10" x14ac:dyDescent="0.2">
      <c r="A188" s="1" t="str">
        <f>"20839-HQ-LEL"</f>
        <v>20839-HQ-LEL</v>
      </c>
      <c r="B188" s="5" t="s">
        <v>450</v>
      </c>
      <c r="C188" s="5" t="s">
        <v>15</v>
      </c>
      <c r="D188" s="5" t="s">
        <v>94</v>
      </c>
      <c r="E188" s="5" t="s">
        <v>13</v>
      </c>
      <c r="F188" s="6">
        <v>42408.487500000003</v>
      </c>
      <c r="G188" s="7">
        <v>42565</v>
      </c>
      <c r="H188" s="7">
        <v>44025</v>
      </c>
      <c r="I188" s="5" t="s">
        <v>451</v>
      </c>
      <c r="J188" s="5" t="str">
        <f>"North Western, Solwezi"</f>
        <v>North Western, Solwezi</v>
      </c>
    </row>
    <row r="189" spans="1:10" x14ac:dyDescent="0.2">
      <c r="A189" s="2" t="str">
        <f>"20841-HQ-LEL"</f>
        <v>20841-HQ-LEL</v>
      </c>
      <c r="B189" s="8" t="s">
        <v>452</v>
      </c>
      <c r="C189" s="8" t="s">
        <v>15</v>
      </c>
      <c r="D189" s="8" t="s">
        <v>453</v>
      </c>
      <c r="E189" s="8" t="s">
        <v>13</v>
      </c>
      <c r="F189" s="9">
        <v>42408.507638888892</v>
      </c>
      <c r="G189" s="10">
        <v>42552</v>
      </c>
      <c r="H189" s="10">
        <v>44012</v>
      </c>
      <c r="I189" s="8" t="s">
        <v>454</v>
      </c>
      <c r="J189" s="8" t="str">
        <f>"Copperbelt, Chingola"</f>
        <v>Copperbelt, Chingola</v>
      </c>
    </row>
    <row r="190" spans="1:10" x14ac:dyDescent="0.2">
      <c r="A190" s="1" t="str">
        <f>"20843-HQ-LEL"</f>
        <v>20843-HQ-LEL</v>
      </c>
      <c r="B190" s="5" t="s">
        <v>455</v>
      </c>
      <c r="C190" s="5" t="s">
        <v>15</v>
      </c>
      <c r="D190" s="5" t="s">
        <v>456</v>
      </c>
      <c r="E190" s="5" t="s">
        <v>13</v>
      </c>
      <c r="F190" s="6">
        <v>42408.516261574077</v>
      </c>
      <c r="G190" s="7">
        <v>42563</v>
      </c>
      <c r="H190" s="7">
        <v>44023</v>
      </c>
      <c r="I190" s="5" t="s">
        <v>457</v>
      </c>
      <c r="J190" s="5" t="str">
        <f>"Northern, Chinsali, Isoka"</f>
        <v>Northern, Chinsali, Isoka</v>
      </c>
    </row>
    <row r="191" spans="1:10" x14ac:dyDescent="0.2">
      <c r="A191" s="2" t="str">
        <f>"20844-HQ-LEL"</f>
        <v>20844-HQ-LEL</v>
      </c>
      <c r="B191" s="8" t="s">
        <v>458</v>
      </c>
      <c r="C191" s="8" t="s">
        <v>15</v>
      </c>
      <c r="D191" s="8" t="s">
        <v>459</v>
      </c>
      <c r="E191" s="8" t="s">
        <v>13</v>
      </c>
      <c r="F191" s="9">
        <v>42408.518055555556</v>
      </c>
      <c r="G191" s="10">
        <v>42563</v>
      </c>
      <c r="H191" s="10">
        <v>44023</v>
      </c>
      <c r="I191" s="8" t="s">
        <v>460</v>
      </c>
      <c r="J191" s="8" t="str">
        <f>"Central, Mumbwa"</f>
        <v>Central, Mumbwa</v>
      </c>
    </row>
    <row r="192" spans="1:10" x14ac:dyDescent="0.2">
      <c r="A192" s="1" t="str">
        <f>"20845-HQ-LEL"</f>
        <v>20845-HQ-LEL</v>
      </c>
      <c r="B192" s="5" t="s">
        <v>458</v>
      </c>
      <c r="C192" s="5" t="s">
        <v>15</v>
      </c>
      <c r="D192" s="5" t="s">
        <v>459</v>
      </c>
      <c r="E192" s="5" t="s">
        <v>13</v>
      </c>
      <c r="F192" s="6">
        <v>42408.520138888889</v>
      </c>
      <c r="G192" s="7">
        <v>42563</v>
      </c>
      <c r="H192" s="7">
        <v>44023</v>
      </c>
      <c r="I192" s="5" t="s">
        <v>461</v>
      </c>
      <c r="J192" s="5" t="str">
        <f>"Lusaka, Luangwa"</f>
        <v>Lusaka, Luangwa</v>
      </c>
    </row>
    <row r="193" spans="1:10" x14ac:dyDescent="0.2">
      <c r="A193" s="2" t="str">
        <f>"20848-HQ-LEL"</f>
        <v>20848-HQ-LEL</v>
      </c>
      <c r="B193" s="8" t="s">
        <v>445</v>
      </c>
      <c r="C193" s="8" t="s">
        <v>15</v>
      </c>
      <c r="D193" s="8" t="s">
        <v>446</v>
      </c>
      <c r="E193" s="8" t="s">
        <v>13</v>
      </c>
      <c r="F193" s="9">
        <v>42409.388194444444</v>
      </c>
      <c r="G193" s="10">
        <v>42509</v>
      </c>
      <c r="H193" s="10">
        <v>43969</v>
      </c>
      <c r="I193" s="8" t="s">
        <v>462</v>
      </c>
      <c r="J193" s="8" t="str">
        <f>"Central, Chibombo"</f>
        <v>Central, Chibombo</v>
      </c>
    </row>
    <row r="194" spans="1:10" x14ac:dyDescent="0.2">
      <c r="A194" s="1" t="str">
        <f>"20851-HQ-SEL"</f>
        <v>20851-HQ-SEL</v>
      </c>
      <c r="B194" s="5" t="s">
        <v>463</v>
      </c>
      <c r="C194" s="5" t="s">
        <v>34</v>
      </c>
      <c r="D194" s="5" t="s">
        <v>464</v>
      </c>
      <c r="E194" s="5" t="s">
        <v>13</v>
      </c>
      <c r="F194" s="6">
        <v>42409.424305555556</v>
      </c>
      <c r="G194" s="7">
        <v>42549</v>
      </c>
      <c r="H194" s="7">
        <v>44009</v>
      </c>
      <c r="I194" s="5" t="s">
        <v>465</v>
      </c>
      <c r="J194" s="5" t="str">
        <f>"Lusaka, Kafue"</f>
        <v>Lusaka, Kafue</v>
      </c>
    </row>
    <row r="195" spans="1:10" x14ac:dyDescent="0.2">
      <c r="A195" s="2" t="str">
        <f>"20852-HQ-LEL"</f>
        <v>20852-HQ-LEL</v>
      </c>
      <c r="B195" s="8" t="s">
        <v>466</v>
      </c>
      <c r="C195" s="8" t="s">
        <v>15</v>
      </c>
      <c r="D195" s="8" t="s">
        <v>467</v>
      </c>
      <c r="E195" s="8" t="s">
        <v>13</v>
      </c>
      <c r="F195" s="9">
        <v>42409.4375</v>
      </c>
      <c r="G195" s="10">
        <v>42724</v>
      </c>
      <c r="H195" s="10">
        <v>44184</v>
      </c>
      <c r="I195" s="8" t="s">
        <v>468</v>
      </c>
      <c r="J195" s="8" t="str">
        <f>"Central, Mkushi"</f>
        <v>Central, Mkushi</v>
      </c>
    </row>
    <row r="196" spans="1:10" x14ac:dyDescent="0.2">
      <c r="A196" s="1" t="str">
        <f>"20855-HQ-SML"</f>
        <v>20855-HQ-SML</v>
      </c>
      <c r="B196" s="5" t="s">
        <v>469</v>
      </c>
      <c r="C196" s="5" t="s">
        <v>11</v>
      </c>
      <c r="D196" s="5" t="s">
        <v>102</v>
      </c>
      <c r="E196" s="5" t="s">
        <v>13</v>
      </c>
      <c r="F196" s="6">
        <v>42410.411111111112</v>
      </c>
      <c r="G196" s="7">
        <v>42538</v>
      </c>
      <c r="H196" s="7">
        <v>46189</v>
      </c>
      <c r="I196" s="5" t="s">
        <v>2231</v>
      </c>
      <c r="J196" s="5" t="str">
        <f>"Central, Chibombo"</f>
        <v>Central, Chibombo</v>
      </c>
    </row>
    <row r="197" spans="1:10" x14ac:dyDescent="0.2">
      <c r="A197" s="2" t="str">
        <f>"20856-HQ-SML"</f>
        <v>20856-HQ-SML</v>
      </c>
      <c r="B197" s="8" t="s">
        <v>469</v>
      </c>
      <c r="C197" s="8" t="s">
        <v>11</v>
      </c>
      <c r="D197" s="8" t="s">
        <v>102</v>
      </c>
      <c r="E197" s="8" t="s">
        <v>13</v>
      </c>
      <c r="F197" s="9">
        <v>42410.413194444445</v>
      </c>
      <c r="G197" s="10">
        <v>42530</v>
      </c>
      <c r="H197" s="10">
        <v>46181</v>
      </c>
      <c r="I197" s="8" t="s">
        <v>470</v>
      </c>
      <c r="J197" s="8" t="str">
        <f>"Central, Chibombo"</f>
        <v>Central, Chibombo</v>
      </c>
    </row>
    <row r="198" spans="1:10" x14ac:dyDescent="0.2">
      <c r="A198" s="1" t="str">
        <f>"20859-HQ-LEL"</f>
        <v>20859-HQ-LEL</v>
      </c>
      <c r="B198" s="5" t="s">
        <v>471</v>
      </c>
      <c r="C198" s="5" t="s">
        <v>15</v>
      </c>
      <c r="D198" s="5" t="s">
        <v>350</v>
      </c>
      <c r="E198" s="5" t="s">
        <v>13</v>
      </c>
      <c r="F198" s="6">
        <v>42410.500034722223</v>
      </c>
      <c r="G198" s="7">
        <v>42726</v>
      </c>
      <c r="H198" s="7">
        <v>44186</v>
      </c>
      <c r="I198" s="5" t="s">
        <v>472</v>
      </c>
      <c r="J198" s="5" t="str">
        <f>"Copperbelt, Mufulira"</f>
        <v>Copperbelt, Mufulira</v>
      </c>
    </row>
    <row r="199" spans="1:10" x14ac:dyDescent="0.2">
      <c r="A199" s="2" t="str">
        <f>"20860-HQ-SEL"</f>
        <v>20860-HQ-SEL</v>
      </c>
      <c r="B199" s="8" t="s">
        <v>473</v>
      </c>
      <c r="C199" s="8" t="s">
        <v>34</v>
      </c>
      <c r="D199" s="8" t="s">
        <v>51</v>
      </c>
      <c r="E199" s="8" t="s">
        <v>13</v>
      </c>
      <c r="F199" s="9">
        <v>42410.540972222225</v>
      </c>
      <c r="G199" s="10">
        <v>42683</v>
      </c>
      <c r="H199" s="10">
        <v>44143</v>
      </c>
      <c r="I199" s="8" t="s">
        <v>474</v>
      </c>
      <c r="J199" s="8" t="str">
        <f>"Central, Mumbwa"</f>
        <v>Central, Mumbwa</v>
      </c>
    </row>
    <row r="200" spans="1:10" x14ac:dyDescent="0.2">
      <c r="A200" s="1" t="str">
        <f>"20864-HQ-LEL"</f>
        <v>20864-HQ-LEL</v>
      </c>
      <c r="B200" s="5" t="s">
        <v>475</v>
      </c>
      <c r="C200" s="5" t="s">
        <v>15</v>
      </c>
      <c r="D200" s="5" t="s">
        <v>476</v>
      </c>
      <c r="E200" s="5" t="s">
        <v>13</v>
      </c>
      <c r="F200" s="6">
        <v>42411.538888888892</v>
      </c>
      <c r="G200" s="7">
        <v>42501</v>
      </c>
      <c r="H200" s="7">
        <v>43961</v>
      </c>
      <c r="I200" s="5" t="s">
        <v>2232</v>
      </c>
      <c r="J200" s="5" t="str">
        <f>"Central, Serenje"</f>
        <v>Central, Serenje</v>
      </c>
    </row>
    <row r="201" spans="1:10" x14ac:dyDescent="0.2">
      <c r="A201" s="2" t="str">
        <f>"20866-HQ-LEL"</f>
        <v>20866-HQ-LEL</v>
      </c>
      <c r="B201" s="8" t="s">
        <v>439</v>
      </c>
      <c r="C201" s="8" t="s">
        <v>15</v>
      </c>
      <c r="D201" s="8" t="s">
        <v>477</v>
      </c>
      <c r="E201" s="8" t="s">
        <v>13</v>
      </c>
      <c r="F201" s="9">
        <v>42412.439583333333</v>
      </c>
      <c r="G201" s="10">
        <v>42629</v>
      </c>
      <c r="H201" s="10">
        <v>44089</v>
      </c>
      <c r="I201" s="8" t="s">
        <v>478</v>
      </c>
      <c r="J201" s="8" t="str">
        <f>"Southern, Kazungula"</f>
        <v>Southern, Kazungula</v>
      </c>
    </row>
    <row r="202" spans="1:10" x14ac:dyDescent="0.2">
      <c r="A202" s="1" t="str">
        <f>"20871-HQ-SEL"</f>
        <v>20871-HQ-SEL</v>
      </c>
      <c r="B202" s="5" t="s">
        <v>479</v>
      </c>
      <c r="C202" s="5" t="s">
        <v>34</v>
      </c>
      <c r="D202" s="5" t="s">
        <v>308</v>
      </c>
      <c r="E202" s="5" t="s">
        <v>13</v>
      </c>
      <c r="F202" s="6">
        <v>42416.488888888889</v>
      </c>
      <c r="G202" s="7">
        <v>42641</v>
      </c>
      <c r="H202" s="7">
        <v>44101</v>
      </c>
      <c r="I202" s="5" t="s">
        <v>2233</v>
      </c>
      <c r="J202" s="5" t="str">
        <f>"Central, Mkushi"</f>
        <v>Central, Mkushi</v>
      </c>
    </row>
    <row r="203" spans="1:10" x14ac:dyDescent="0.2">
      <c r="A203" s="2" t="str">
        <f>"20875-HQ-AMR"</f>
        <v>20875-HQ-AMR</v>
      </c>
      <c r="B203" s="8" t="s">
        <v>415</v>
      </c>
      <c r="C203" s="8" t="s">
        <v>19</v>
      </c>
      <c r="D203" s="8" t="s">
        <v>480</v>
      </c>
      <c r="E203" s="8" t="s">
        <v>13</v>
      </c>
      <c r="F203" s="9">
        <v>42417.440972222219</v>
      </c>
      <c r="G203" s="10">
        <v>42521</v>
      </c>
      <c r="H203" s="10">
        <v>43250</v>
      </c>
      <c r="I203" s="8" t="s">
        <v>481</v>
      </c>
      <c r="J203" s="8" t="str">
        <f>"Central, Mkushi"</f>
        <v>Central, Mkushi</v>
      </c>
    </row>
    <row r="204" spans="1:10" x14ac:dyDescent="0.2">
      <c r="A204" s="1" t="str">
        <f>"20879-HQ-LEL"</f>
        <v>20879-HQ-LEL</v>
      </c>
      <c r="B204" s="5" t="s">
        <v>482</v>
      </c>
      <c r="C204" s="5" t="s">
        <v>15</v>
      </c>
      <c r="D204" s="5" t="s">
        <v>102</v>
      </c>
      <c r="E204" s="5" t="s">
        <v>13</v>
      </c>
      <c r="F204" s="6">
        <v>42446.49722222222</v>
      </c>
      <c r="G204" s="7">
        <v>42648</v>
      </c>
      <c r="H204" s="7">
        <v>44108</v>
      </c>
      <c r="I204" s="5" t="s">
        <v>483</v>
      </c>
      <c r="J204" s="5" t="str">
        <f>"Copperbelt, Chililabombwe, Chingola, Kalulushi"</f>
        <v>Copperbelt, Chililabombwe, Chingola, Kalulushi</v>
      </c>
    </row>
    <row r="205" spans="1:10" x14ac:dyDescent="0.2">
      <c r="A205" s="2" t="str">
        <f>"20881-HQ-SEL"</f>
        <v>20881-HQ-SEL</v>
      </c>
      <c r="B205" s="8" t="s">
        <v>484</v>
      </c>
      <c r="C205" s="8" t="s">
        <v>34</v>
      </c>
      <c r="D205" s="8" t="s">
        <v>82</v>
      </c>
      <c r="E205" s="8" t="s">
        <v>13</v>
      </c>
      <c r="F205" s="9">
        <v>42417.504166666666</v>
      </c>
      <c r="G205" s="10">
        <v>42500</v>
      </c>
      <c r="H205" s="10">
        <v>43960</v>
      </c>
      <c r="I205" s="8" t="s">
        <v>485</v>
      </c>
      <c r="J205" s="8" t="str">
        <f>"Eastern, Lundazi"</f>
        <v>Eastern, Lundazi</v>
      </c>
    </row>
    <row r="206" spans="1:10" x14ac:dyDescent="0.2">
      <c r="A206" s="1" t="str">
        <f>"20883-HQ-AMR"</f>
        <v>20883-HQ-AMR</v>
      </c>
      <c r="B206" s="5" t="s">
        <v>486</v>
      </c>
      <c r="C206" s="5" t="s">
        <v>19</v>
      </c>
      <c r="D206" s="5" t="s">
        <v>487</v>
      </c>
      <c r="E206" s="5" t="s">
        <v>13</v>
      </c>
      <c r="F206" s="6">
        <v>42418.478472222225</v>
      </c>
      <c r="G206" s="7">
        <v>42500</v>
      </c>
      <c r="H206" s="7">
        <v>43229</v>
      </c>
      <c r="I206" s="5" t="s">
        <v>2234</v>
      </c>
      <c r="J206" s="5" t="str">
        <f>"Copperbelt, Mpongwe"</f>
        <v>Copperbelt, Mpongwe</v>
      </c>
    </row>
    <row r="207" spans="1:10" x14ac:dyDescent="0.2">
      <c r="A207" s="2" t="str">
        <f>"20884-HQ-AMR"</f>
        <v>20884-HQ-AMR</v>
      </c>
      <c r="B207" s="8" t="s">
        <v>488</v>
      </c>
      <c r="C207" s="8" t="s">
        <v>19</v>
      </c>
      <c r="D207" s="8" t="s">
        <v>40</v>
      </c>
      <c r="E207" s="8" t="s">
        <v>489</v>
      </c>
      <c r="F207" s="9">
        <v>42419.388194444444</v>
      </c>
      <c r="G207" s="10">
        <v>42495</v>
      </c>
      <c r="H207" s="10">
        <v>43224</v>
      </c>
      <c r="I207" s="8" t="s">
        <v>2234</v>
      </c>
      <c r="J207" s="8" t="str">
        <f>"North Western, Kasempa"</f>
        <v>North Western, Kasempa</v>
      </c>
    </row>
    <row r="208" spans="1:10" x14ac:dyDescent="0.2">
      <c r="A208" s="1" t="str">
        <f>"20885-HQ-AMR"</f>
        <v>20885-HQ-AMR</v>
      </c>
      <c r="B208" s="5" t="s">
        <v>488</v>
      </c>
      <c r="C208" s="5" t="s">
        <v>19</v>
      </c>
      <c r="D208" s="5" t="s">
        <v>487</v>
      </c>
      <c r="E208" s="5" t="s">
        <v>13</v>
      </c>
      <c r="F208" s="6">
        <v>42419.392361111109</v>
      </c>
      <c r="G208" s="7">
        <v>42495</v>
      </c>
      <c r="H208" s="7">
        <v>43224</v>
      </c>
      <c r="I208" s="5" t="s">
        <v>2234</v>
      </c>
      <c r="J208" s="5" t="str">
        <f>"North Western, Kasempa"</f>
        <v>North Western, Kasempa</v>
      </c>
    </row>
    <row r="209" spans="1:10" ht="22.5" x14ac:dyDescent="0.2">
      <c r="A209" s="2" t="str">
        <f>"20886-HQ-LEL"</f>
        <v>20886-HQ-LEL</v>
      </c>
      <c r="B209" s="8" t="s">
        <v>393</v>
      </c>
      <c r="C209" s="8" t="s">
        <v>15</v>
      </c>
      <c r="D209" s="8" t="s">
        <v>490</v>
      </c>
      <c r="E209" s="8" t="s">
        <v>13</v>
      </c>
      <c r="F209" s="9">
        <v>42419.430555555555</v>
      </c>
      <c r="G209" s="10">
        <v>42523</v>
      </c>
      <c r="H209" s="10">
        <v>43983</v>
      </c>
      <c r="I209" s="8" t="s">
        <v>491</v>
      </c>
      <c r="J209" s="8" t="str">
        <f>"Central, Mkushi"</f>
        <v>Central, Mkushi</v>
      </c>
    </row>
    <row r="210" spans="1:10" x14ac:dyDescent="0.2">
      <c r="A210" s="1" t="str">
        <f>"20889-HQ-SEL"</f>
        <v>20889-HQ-SEL</v>
      </c>
      <c r="B210" s="5" t="s">
        <v>492</v>
      </c>
      <c r="C210" s="5" t="s">
        <v>34</v>
      </c>
      <c r="D210" s="5" t="s">
        <v>167</v>
      </c>
      <c r="E210" s="5" t="s">
        <v>13</v>
      </c>
      <c r="F210" s="6">
        <v>42419.493055555555</v>
      </c>
      <c r="G210" s="7">
        <v>42502</v>
      </c>
      <c r="H210" s="7">
        <v>43962</v>
      </c>
      <c r="I210" s="5" t="s">
        <v>493</v>
      </c>
      <c r="J210" s="5" t="str">
        <f>"Central, Mkushi"</f>
        <v>Central, Mkushi</v>
      </c>
    </row>
    <row r="211" spans="1:10" x14ac:dyDescent="0.2">
      <c r="A211" s="2" t="str">
        <f>"20894-HQ-LEL"</f>
        <v>20894-HQ-LEL</v>
      </c>
      <c r="B211" s="8" t="s">
        <v>494</v>
      </c>
      <c r="C211" s="8" t="s">
        <v>15</v>
      </c>
      <c r="D211" s="8" t="s">
        <v>495</v>
      </c>
      <c r="E211" s="8" t="s">
        <v>13</v>
      </c>
      <c r="F211" s="9">
        <v>42423.442361111112</v>
      </c>
      <c r="G211" s="10">
        <v>42641</v>
      </c>
      <c r="H211" s="10">
        <v>44101</v>
      </c>
      <c r="I211" s="8" t="s">
        <v>496</v>
      </c>
      <c r="J211" s="8" t="str">
        <f>"North Western, Mufumbwe, Mwinilunga, Solwezi"</f>
        <v>North Western, Mufumbwe, Mwinilunga, Solwezi</v>
      </c>
    </row>
    <row r="212" spans="1:10" x14ac:dyDescent="0.2">
      <c r="A212" s="1" t="str">
        <f>"20895-HQ-LEL"</f>
        <v>20895-HQ-LEL</v>
      </c>
      <c r="B212" s="5" t="s">
        <v>497</v>
      </c>
      <c r="C212" s="5" t="s">
        <v>15</v>
      </c>
      <c r="D212" s="5" t="s">
        <v>498</v>
      </c>
      <c r="E212" s="5" t="s">
        <v>13</v>
      </c>
      <c r="F212" s="6">
        <v>42423.447916666664</v>
      </c>
      <c r="G212" s="7">
        <v>42597</v>
      </c>
      <c r="H212" s="7">
        <v>44057</v>
      </c>
      <c r="I212" s="5" t="s">
        <v>499</v>
      </c>
      <c r="J212" s="5" t="str">
        <f>"North Western, Kasempa"</f>
        <v>North Western, Kasempa</v>
      </c>
    </row>
    <row r="213" spans="1:10" x14ac:dyDescent="0.2">
      <c r="A213" s="2" t="str">
        <f>"20896-HQ-SEL"</f>
        <v>20896-HQ-SEL</v>
      </c>
      <c r="B213" s="8" t="s">
        <v>500</v>
      </c>
      <c r="C213" s="8" t="s">
        <v>34</v>
      </c>
      <c r="D213" s="8" t="s">
        <v>501</v>
      </c>
      <c r="E213" s="8" t="s">
        <v>13</v>
      </c>
      <c r="F213" s="9">
        <v>42423.452777777777</v>
      </c>
      <c r="G213" s="10">
        <v>42524</v>
      </c>
      <c r="H213" s="10">
        <v>43984</v>
      </c>
      <c r="I213" s="8" t="s">
        <v>502</v>
      </c>
      <c r="J213" s="8" t="str">
        <f>"Central, Chibombo"</f>
        <v>Central, Chibombo</v>
      </c>
    </row>
    <row r="214" spans="1:10" x14ac:dyDescent="0.2">
      <c r="A214" s="1" t="str">
        <f>"20897-HQ-LEL"</f>
        <v>20897-HQ-LEL</v>
      </c>
      <c r="B214" s="5" t="s">
        <v>503</v>
      </c>
      <c r="C214" s="5" t="s">
        <v>15</v>
      </c>
      <c r="D214" s="5" t="s">
        <v>504</v>
      </c>
      <c r="E214" s="5" t="s">
        <v>13</v>
      </c>
      <c r="F214" s="6">
        <v>42423.513888888891</v>
      </c>
      <c r="G214" s="7">
        <v>42584</v>
      </c>
      <c r="H214" s="7">
        <v>44044</v>
      </c>
      <c r="I214" s="5" t="s">
        <v>505</v>
      </c>
      <c r="J214" s="5" t="str">
        <f>"Eastern, Chama, Lundazi"</f>
        <v>Eastern, Chama, Lundazi</v>
      </c>
    </row>
    <row r="215" spans="1:10" x14ac:dyDescent="0.2">
      <c r="A215" s="2" t="str">
        <f>"20900-HQ-LEL"</f>
        <v>20900-HQ-LEL</v>
      </c>
      <c r="B215" s="8" t="s">
        <v>506</v>
      </c>
      <c r="C215" s="8" t="s">
        <v>15</v>
      </c>
      <c r="D215" s="8" t="s">
        <v>507</v>
      </c>
      <c r="E215" s="8" t="s">
        <v>13</v>
      </c>
      <c r="F215" s="9">
        <v>42424.446273148147</v>
      </c>
      <c r="G215" s="10">
        <v>42527</v>
      </c>
      <c r="H215" s="10">
        <v>43987</v>
      </c>
      <c r="I215" s="8" t="s">
        <v>508</v>
      </c>
      <c r="J215" s="8" t="str">
        <f>"Copperbelt, Ndola"</f>
        <v>Copperbelt, Ndola</v>
      </c>
    </row>
    <row r="216" spans="1:10" x14ac:dyDescent="0.2">
      <c r="A216" s="1" t="str">
        <f>"20901-HQ-LEL"</f>
        <v>20901-HQ-LEL</v>
      </c>
      <c r="B216" s="5" t="s">
        <v>509</v>
      </c>
      <c r="C216" s="5" t="s">
        <v>15</v>
      </c>
      <c r="D216" s="5" t="s">
        <v>510</v>
      </c>
      <c r="E216" s="5" t="s">
        <v>13</v>
      </c>
      <c r="F216" s="6">
        <v>42424.466666666667</v>
      </c>
      <c r="G216" s="7">
        <v>42531</v>
      </c>
      <c r="H216" s="7">
        <v>43991</v>
      </c>
      <c r="I216" s="5" t="s">
        <v>511</v>
      </c>
      <c r="J216" s="5" t="str">
        <f>"North Western, Mwinilunga, Solwezi"</f>
        <v>North Western, Mwinilunga, Solwezi</v>
      </c>
    </row>
    <row r="217" spans="1:10" x14ac:dyDescent="0.2">
      <c r="A217" s="2" t="str">
        <f>"20902-HQ-LEL"</f>
        <v>20902-HQ-LEL</v>
      </c>
      <c r="B217" s="8" t="s">
        <v>399</v>
      </c>
      <c r="C217" s="8" t="s">
        <v>15</v>
      </c>
      <c r="D217" s="8" t="s">
        <v>58</v>
      </c>
      <c r="E217" s="8" t="s">
        <v>13</v>
      </c>
      <c r="F217" s="9">
        <v>42425.422222222223</v>
      </c>
      <c r="G217" s="10">
        <v>42513</v>
      </c>
      <c r="H217" s="10">
        <v>43973</v>
      </c>
      <c r="I217" s="8" t="s">
        <v>512</v>
      </c>
      <c r="J217" s="8" t="str">
        <f>"Central, Mkushi"</f>
        <v>Central, Mkushi</v>
      </c>
    </row>
    <row r="218" spans="1:10" x14ac:dyDescent="0.2">
      <c r="A218" s="1" t="str">
        <f>"20903-HQ-LEL"</f>
        <v>20903-HQ-LEL</v>
      </c>
      <c r="B218" s="5" t="s">
        <v>399</v>
      </c>
      <c r="C218" s="5" t="s">
        <v>15</v>
      </c>
      <c r="D218" s="5" t="s">
        <v>58</v>
      </c>
      <c r="E218" s="5" t="s">
        <v>13</v>
      </c>
      <c r="F218" s="6">
        <v>42425.426388888889</v>
      </c>
      <c r="G218" s="7">
        <v>42513</v>
      </c>
      <c r="H218" s="7">
        <v>43973</v>
      </c>
      <c r="I218" s="5" t="s">
        <v>513</v>
      </c>
      <c r="J218" s="5" t="str">
        <f>"Central, Mkushi"</f>
        <v>Central, Mkushi</v>
      </c>
    </row>
    <row r="219" spans="1:10" x14ac:dyDescent="0.2">
      <c r="A219" s="2" t="str">
        <f>"20906-HQ-LEL"</f>
        <v>20906-HQ-LEL</v>
      </c>
      <c r="B219" s="8" t="s">
        <v>514</v>
      </c>
      <c r="C219" s="8" t="s">
        <v>15</v>
      </c>
      <c r="D219" s="8" t="s">
        <v>515</v>
      </c>
      <c r="E219" s="8" t="s">
        <v>13</v>
      </c>
      <c r="F219" s="9">
        <v>42426.524305555555</v>
      </c>
      <c r="G219" s="10">
        <v>42683</v>
      </c>
      <c r="H219" s="10">
        <v>44143</v>
      </c>
      <c r="I219" s="8" t="s">
        <v>516</v>
      </c>
      <c r="J219" s="8" t="str">
        <f>"Central, Mkushi"</f>
        <v>Central, Mkushi</v>
      </c>
    </row>
    <row r="220" spans="1:10" x14ac:dyDescent="0.2">
      <c r="A220" s="1" t="str">
        <f>"20909-HQ-SEL"</f>
        <v>20909-HQ-SEL</v>
      </c>
      <c r="B220" s="5" t="s">
        <v>517</v>
      </c>
      <c r="C220" s="5" t="s">
        <v>34</v>
      </c>
      <c r="D220" s="5" t="s">
        <v>518</v>
      </c>
      <c r="E220" s="5" t="s">
        <v>13</v>
      </c>
      <c r="F220" s="6">
        <v>42429.385416666664</v>
      </c>
      <c r="G220" s="7">
        <v>42502</v>
      </c>
      <c r="H220" s="7">
        <v>43962</v>
      </c>
      <c r="I220" s="5" t="s">
        <v>519</v>
      </c>
      <c r="J220" s="5" t="str">
        <f>"Central, Chibombo"</f>
        <v>Central, Chibombo</v>
      </c>
    </row>
    <row r="221" spans="1:10" x14ac:dyDescent="0.2">
      <c r="A221" s="2" t="str">
        <f>"20910-HQ-SEL"</f>
        <v>20910-HQ-SEL</v>
      </c>
      <c r="B221" s="8" t="s">
        <v>517</v>
      </c>
      <c r="C221" s="8" t="s">
        <v>34</v>
      </c>
      <c r="D221" s="8" t="s">
        <v>520</v>
      </c>
      <c r="E221" s="8" t="s">
        <v>13</v>
      </c>
      <c r="F221" s="9">
        <v>42429.388194444444</v>
      </c>
      <c r="G221" s="10">
        <v>42530</v>
      </c>
      <c r="H221" s="10">
        <v>43990</v>
      </c>
      <c r="I221" s="8" t="s">
        <v>2235</v>
      </c>
      <c r="J221" s="8" t="str">
        <f>"Central, Chibombo"</f>
        <v>Central, Chibombo</v>
      </c>
    </row>
    <row r="222" spans="1:10" x14ac:dyDescent="0.2">
      <c r="A222" s="1" t="str">
        <f>"20911-HQ-SEL"</f>
        <v>20911-HQ-SEL</v>
      </c>
      <c r="B222" s="5" t="s">
        <v>517</v>
      </c>
      <c r="C222" s="5" t="s">
        <v>34</v>
      </c>
      <c r="D222" s="5" t="s">
        <v>520</v>
      </c>
      <c r="E222" s="5" t="s">
        <v>13</v>
      </c>
      <c r="F222" s="6">
        <v>42429.390277777777</v>
      </c>
      <c r="G222" s="7">
        <v>42502</v>
      </c>
      <c r="H222" s="7">
        <v>43962</v>
      </c>
      <c r="I222" s="5" t="s">
        <v>2236</v>
      </c>
      <c r="J222" s="5" t="str">
        <f>"Central, Chibombo"</f>
        <v>Central, Chibombo</v>
      </c>
    </row>
    <row r="223" spans="1:10" x14ac:dyDescent="0.2">
      <c r="A223" s="2" t="str">
        <f>"20912-HQ-SEL"</f>
        <v>20912-HQ-SEL</v>
      </c>
      <c r="B223" s="8" t="s">
        <v>517</v>
      </c>
      <c r="C223" s="8" t="s">
        <v>34</v>
      </c>
      <c r="D223" s="8" t="s">
        <v>520</v>
      </c>
      <c r="E223" s="8" t="s">
        <v>13</v>
      </c>
      <c r="F223" s="9">
        <v>42429.393055555556</v>
      </c>
      <c r="G223" s="10">
        <v>42502</v>
      </c>
      <c r="H223" s="10">
        <v>43962</v>
      </c>
      <c r="I223" s="8" t="s">
        <v>2237</v>
      </c>
      <c r="J223" s="8" t="str">
        <f>"Central, Chibombo"</f>
        <v>Central, Chibombo</v>
      </c>
    </row>
    <row r="224" spans="1:10" x14ac:dyDescent="0.2">
      <c r="A224" s="1" t="str">
        <f>"20914-HQ-SEL"</f>
        <v>20914-HQ-SEL</v>
      </c>
      <c r="B224" s="5" t="s">
        <v>521</v>
      </c>
      <c r="C224" s="5" t="s">
        <v>34</v>
      </c>
      <c r="D224" s="5" t="s">
        <v>102</v>
      </c>
      <c r="E224" s="5" t="s">
        <v>13</v>
      </c>
      <c r="F224" s="6">
        <v>42430.463194444441</v>
      </c>
      <c r="G224" s="7">
        <v>42500</v>
      </c>
      <c r="H224" s="7">
        <v>43960</v>
      </c>
      <c r="I224" s="5" t="s">
        <v>522</v>
      </c>
      <c r="J224" s="5" t="str">
        <f>"Central, Mumbwa"</f>
        <v>Central, Mumbwa</v>
      </c>
    </row>
    <row r="225" spans="1:10" x14ac:dyDescent="0.2">
      <c r="A225" s="2" t="str">
        <f>"20918-HQ-LEL"</f>
        <v>20918-HQ-LEL</v>
      </c>
      <c r="B225" s="8" t="s">
        <v>523</v>
      </c>
      <c r="C225" s="8" t="s">
        <v>15</v>
      </c>
      <c r="D225" s="8" t="s">
        <v>305</v>
      </c>
      <c r="E225" s="8" t="s">
        <v>13</v>
      </c>
      <c r="F225" s="9">
        <v>42431.411111111112</v>
      </c>
      <c r="G225" s="10">
        <v>42570</v>
      </c>
      <c r="H225" s="10">
        <v>44030</v>
      </c>
      <c r="I225" s="8" t="s">
        <v>524</v>
      </c>
      <c r="J225" s="8" t="str">
        <f>"North Western, Solwezi"</f>
        <v>North Western, Solwezi</v>
      </c>
    </row>
    <row r="226" spans="1:10" x14ac:dyDescent="0.2">
      <c r="A226" s="1" t="str">
        <f>"20966-HQ-MPL"</f>
        <v>20966-HQ-MPL</v>
      </c>
      <c r="B226" s="5" t="s">
        <v>525</v>
      </c>
      <c r="C226" s="5" t="s">
        <v>526</v>
      </c>
      <c r="D226" s="5" t="s">
        <v>51</v>
      </c>
      <c r="E226" s="5" t="s">
        <v>13</v>
      </c>
      <c r="F226" s="6">
        <v>41845.486111111109</v>
      </c>
      <c r="G226" s="7">
        <v>42564</v>
      </c>
      <c r="H226" s="7">
        <v>48041</v>
      </c>
      <c r="I226" s="5" t="s">
        <v>527</v>
      </c>
      <c r="J226" s="5" t="str">
        <f>"Copperbelt, Kitwe"</f>
        <v>Copperbelt, Kitwe</v>
      </c>
    </row>
    <row r="227" spans="1:10" ht="22.5" x14ac:dyDescent="0.2">
      <c r="A227" s="2" t="str">
        <f>"20971-HQ-MPL"</f>
        <v>20971-HQ-MPL</v>
      </c>
      <c r="B227" s="8" t="s">
        <v>528</v>
      </c>
      <c r="C227" s="8" t="s">
        <v>526</v>
      </c>
      <c r="D227" s="8" t="s">
        <v>529</v>
      </c>
      <c r="E227" s="8" t="s">
        <v>530</v>
      </c>
      <c r="F227" s="9">
        <v>42017.515972222223</v>
      </c>
      <c r="G227" s="10">
        <v>42607</v>
      </c>
      <c r="H227" s="10">
        <v>48084</v>
      </c>
      <c r="I227" s="8" t="s">
        <v>531</v>
      </c>
      <c r="J227" s="8" t="str">
        <f>"Copperbelt, Luanshya"</f>
        <v>Copperbelt, Luanshya</v>
      </c>
    </row>
    <row r="228" spans="1:10" x14ac:dyDescent="0.2">
      <c r="A228" s="1" t="str">
        <f>"21007-HQ-SEL"</f>
        <v>21007-HQ-SEL</v>
      </c>
      <c r="B228" s="5" t="s">
        <v>532</v>
      </c>
      <c r="C228" s="5" t="s">
        <v>34</v>
      </c>
      <c r="D228" s="5" t="s">
        <v>533</v>
      </c>
      <c r="E228" s="5" t="s">
        <v>72</v>
      </c>
      <c r="F228" s="6">
        <v>42432.408333333333</v>
      </c>
      <c r="G228" s="7">
        <v>42541</v>
      </c>
      <c r="H228" s="7">
        <v>44001</v>
      </c>
      <c r="I228" s="5" t="s">
        <v>2238</v>
      </c>
      <c r="J228" s="5" t="str">
        <f>"Copperbelt, Luanshya"</f>
        <v>Copperbelt, Luanshya</v>
      </c>
    </row>
    <row r="229" spans="1:10" x14ac:dyDescent="0.2">
      <c r="A229" s="2" t="str">
        <f>"21010-HQ-SEL"</f>
        <v>21010-HQ-SEL</v>
      </c>
      <c r="B229" s="8" t="s">
        <v>534</v>
      </c>
      <c r="C229" s="8" t="s">
        <v>34</v>
      </c>
      <c r="D229" s="8" t="s">
        <v>510</v>
      </c>
      <c r="E229" s="8" t="s">
        <v>13</v>
      </c>
      <c r="F229" s="9">
        <v>42432.491666666669</v>
      </c>
      <c r="G229" s="10">
        <v>42500</v>
      </c>
      <c r="H229" s="10">
        <v>43960</v>
      </c>
      <c r="I229" s="8" t="s">
        <v>535</v>
      </c>
      <c r="J229" s="8" t="str">
        <f>"Eastern, Chipata, Mambwe"</f>
        <v>Eastern, Chipata, Mambwe</v>
      </c>
    </row>
    <row r="230" spans="1:10" x14ac:dyDescent="0.2">
      <c r="A230" s="1" t="str">
        <f>"21011-HQ-SEL"</f>
        <v>21011-HQ-SEL</v>
      </c>
      <c r="B230" s="5" t="s">
        <v>500</v>
      </c>
      <c r="C230" s="5" t="s">
        <v>34</v>
      </c>
      <c r="D230" s="5" t="s">
        <v>501</v>
      </c>
      <c r="E230" s="5" t="s">
        <v>13</v>
      </c>
      <c r="F230" s="6">
        <v>42432.527083333334</v>
      </c>
      <c r="G230" s="7">
        <v>42648</v>
      </c>
      <c r="H230" s="7">
        <v>44108</v>
      </c>
      <c r="I230" s="5" t="s">
        <v>536</v>
      </c>
      <c r="J230" s="5" t="str">
        <f>"Central, Chibombo"</f>
        <v>Central, Chibombo</v>
      </c>
    </row>
    <row r="231" spans="1:10" x14ac:dyDescent="0.2">
      <c r="A231" s="2" t="str">
        <f>"21013-HQ-SEL"</f>
        <v>21013-HQ-SEL</v>
      </c>
      <c r="B231" s="8" t="s">
        <v>537</v>
      </c>
      <c r="C231" s="8" t="s">
        <v>34</v>
      </c>
      <c r="D231" s="8" t="s">
        <v>538</v>
      </c>
      <c r="E231" s="8" t="s">
        <v>13</v>
      </c>
      <c r="F231" s="9">
        <v>42433.387499999997</v>
      </c>
      <c r="G231" s="10">
        <v>42551</v>
      </c>
      <c r="H231" s="10">
        <v>44011</v>
      </c>
      <c r="I231" s="8" t="s">
        <v>539</v>
      </c>
      <c r="J231" s="8" t="str">
        <f>"Central, Kapiri Mposhi"</f>
        <v>Central, Kapiri Mposhi</v>
      </c>
    </row>
    <row r="232" spans="1:10" x14ac:dyDescent="0.2">
      <c r="A232" s="1" t="str">
        <f>"21015-HQ-LEL"</f>
        <v>21015-HQ-LEL</v>
      </c>
      <c r="B232" s="5" t="s">
        <v>540</v>
      </c>
      <c r="C232" s="5" t="s">
        <v>15</v>
      </c>
      <c r="D232" s="5" t="s">
        <v>541</v>
      </c>
      <c r="E232" s="5" t="s">
        <v>13</v>
      </c>
      <c r="F232" s="6">
        <v>42433.44158564815</v>
      </c>
      <c r="G232" s="7">
        <v>42634</v>
      </c>
      <c r="H232" s="7">
        <v>44094</v>
      </c>
      <c r="I232" s="5" t="s">
        <v>2239</v>
      </c>
      <c r="J232" s="5" t="str">
        <f>"Lusaka, Chongwe"</f>
        <v>Lusaka, Chongwe</v>
      </c>
    </row>
    <row r="233" spans="1:10" x14ac:dyDescent="0.2">
      <c r="A233" s="2" t="str">
        <f>"21016-HQ-LEL"</f>
        <v>21016-HQ-LEL</v>
      </c>
      <c r="B233" s="8" t="s">
        <v>542</v>
      </c>
      <c r="C233" s="8" t="s">
        <v>15</v>
      </c>
      <c r="D233" s="8" t="s">
        <v>543</v>
      </c>
      <c r="E233" s="8" t="s">
        <v>13</v>
      </c>
      <c r="F233" s="9">
        <v>42433.442395833335</v>
      </c>
      <c r="G233" s="10">
        <v>42578</v>
      </c>
      <c r="H233" s="10">
        <v>44038</v>
      </c>
      <c r="I233" s="8" t="s">
        <v>544</v>
      </c>
      <c r="J233" s="8" t="str">
        <f>"North Western, Mufumbwe"</f>
        <v>North Western, Mufumbwe</v>
      </c>
    </row>
    <row r="234" spans="1:10" x14ac:dyDescent="0.2">
      <c r="A234" s="1" t="str">
        <f>"21018-HQ-LEL"</f>
        <v>21018-HQ-LEL</v>
      </c>
      <c r="B234" s="5" t="s">
        <v>545</v>
      </c>
      <c r="C234" s="5" t="s">
        <v>15</v>
      </c>
      <c r="D234" s="5" t="s">
        <v>546</v>
      </c>
      <c r="E234" s="5" t="s">
        <v>13</v>
      </c>
      <c r="F234" s="6">
        <v>42433.499189814815</v>
      </c>
      <c r="G234" s="7">
        <v>42495</v>
      </c>
      <c r="H234" s="7">
        <v>43955</v>
      </c>
      <c r="I234" s="5" t="s">
        <v>547</v>
      </c>
      <c r="J234" s="5" t="str">
        <f>"North Western, Mufumbwe"</f>
        <v>North Western, Mufumbwe</v>
      </c>
    </row>
    <row r="235" spans="1:10" x14ac:dyDescent="0.2">
      <c r="A235" s="2" t="str">
        <f>"21019-HQ-SEL"</f>
        <v>21019-HQ-SEL</v>
      </c>
      <c r="B235" s="8" t="s">
        <v>548</v>
      </c>
      <c r="C235" s="8" t="s">
        <v>34</v>
      </c>
      <c r="D235" s="8" t="s">
        <v>549</v>
      </c>
      <c r="E235" s="8" t="s">
        <v>13</v>
      </c>
      <c r="F235" s="9">
        <v>42436.456250000003</v>
      </c>
      <c r="G235" s="10">
        <v>42598</v>
      </c>
      <c r="H235" s="10">
        <v>44058</v>
      </c>
      <c r="I235" s="8" t="s">
        <v>550</v>
      </c>
      <c r="J235" s="8" t="str">
        <f>"Central, Kabwe"</f>
        <v>Central, Kabwe</v>
      </c>
    </row>
    <row r="236" spans="1:10" x14ac:dyDescent="0.2">
      <c r="A236" s="1" t="str">
        <f>"21020-HQ-SML"</f>
        <v>21020-HQ-SML</v>
      </c>
      <c r="B236" s="5" t="s">
        <v>551</v>
      </c>
      <c r="C236" s="5" t="s">
        <v>11</v>
      </c>
      <c r="D236" s="5" t="s">
        <v>353</v>
      </c>
      <c r="E236" s="5" t="s">
        <v>13</v>
      </c>
      <c r="F236" s="6">
        <v>42436.537476851852</v>
      </c>
      <c r="G236" s="7">
        <v>42549</v>
      </c>
      <c r="H236" s="7">
        <v>46200</v>
      </c>
      <c r="I236" s="5" t="s">
        <v>552</v>
      </c>
      <c r="J236" s="5" t="str">
        <f>"Copperbelt, Ndola"</f>
        <v>Copperbelt, Ndola</v>
      </c>
    </row>
    <row r="237" spans="1:10" x14ac:dyDescent="0.2">
      <c r="A237" s="2" t="str">
        <f>"21021-HQ-SEL"</f>
        <v>21021-HQ-SEL</v>
      </c>
      <c r="B237" s="8" t="s">
        <v>521</v>
      </c>
      <c r="C237" s="8" t="s">
        <v>34</v>
      </c>
      <c r="D237" s="8" t="s">
        <v>71</v>
      </c>
      <c r="E237" s="8" t="s">
        <v>13</v>
      </c>
      <c r="F237" s="9">
        <v>42438.40625</v>
      </c>
      <c r="G237" s="10">
        <v>42534</v>
      </c>
      <c r="H237" s="10">
        <v>43994</v>
      </c>
      <c r="I237" s="8" t="s">
        <v>553</v>
      </c>
      <c r="J237" s="8" t="str">
        <f>"Eastern, Nyimba"</f>
        <v>Eastern, Nyimba</v>
      </c>
    </row>
    <row r="238" spans="1:10" x14ac:dyDescent="0.2">
      <c r="A238" s="1" t="str">
        <f>"21038-HQ-SML"</f>
        <v>21038-HQ-SML</v>
      </c>
      <c r="B238" s="5" t="s">
        <v>554</v>
      </c>
      <c r="C238" s="5" t="s">
        <v>11</v>
      </c>
      <c r="D238" s="5" t="s">
        <v>515</v>
      </c>
      <c r="E238" s="5" t="s">
        <v>13</v>
      </c>
      <c r="F238" s="6">
        <v>42443.536111111112</v>
      </c>
      <c r="G238" s="7">
        <v>42579</v>
      </c>
      <c r="H238" s="7">
        <v>46230</v>
      </c>
      <c r="I238" s="5" t="s">
        <v>555</v>
      </c>
      <c r="J238" s="5" t="str">
        <f>"Central, Mkushi"</f>
        <v>Central, Mkushi</v>
      </c>
    </row>
    <row r="239" spans="1:10" x14ac:dyDescent="0.2">
      <c r="A239" s="2" t="str">
        <f>"21041-HQ-SEL"</f>
        <v>21041-HQ-SEL</v>
      </c>
      <c r="B239" s="8" t="s">
        <v>556</v>
      </c>
      <c r="C239" s="8" t="s">
        <v>34</v>
      </c>
      <c r="D239" s="8" t="s">
        <v>557</v>
      </c>
      <c r="E239" s="8" t="s">
        <v>13</v>
      </c>
      <c r="F239" s="9">
        <v>42444.402083333334</v>
      </c>
      <c r="G239" s="10">
        <v>42579</v>
      </c>
      <c r="H239" s="10">
        <v>44039</v>
      </c>
      <c r="I239" s="8" t="s">
        <v>558</v>
      </c>
      <c r="J239" s="8" t="str">
        <f>"Central, Chibombo"</f>
        <v>Central, Chibombo</v>
      </c>
    </row>
    <row r="240" spans="1:10" x14ac:dyDescent="0.2">
      <c r="A240" s="1" t="str">
        <f>"21048-HQ-SEL"</f>
        <v>21048-HQ-SEL</v>
      </c>
      <c r="B240" s="5" t="s">
        <v>559</v>
      </c>
      <c r="C240" s="5" t="s">
        <v>34</v>
      </c>
      <c r="D240" s="5" t="s">
        <v>51</v>
      </c>
      <c r="E240" s="5" t="s">
        <v>13</v>
      </c>
      <c r="F240" s="6">
        <v>42447.513888888891</v>
      </c>
      <c r="G240" s="7">
        <v>42535</v>
      </c>
      <c r="H240" s="7">
        <v>43995</v>
      </c>
      <c r="I240" s="5" t="s">
        <v>560</v>
      </c>
      <c r="J240" s="5" t="str">
        <f>"Central, Mumbwa"</f>
        <v>Central, Mumbwa</v>
      </c>
    </row>
    <row r="241" spans="1:10" x14ac:dyDescent="0.2">
      <c r="A241" s="2" t="str">
        <f>"21052-HQ-SEL"</f>
        <v>21052-HQ-SEL</v>
      </c>
      <c r="B241" s="8" t="s">
        <v>336</v>
      </c>
      <c r="C241" s="8" t="s">
        <v>34</v>
      </c>
      <c r="D241" s="8" t="s">
        <v>38</v>
      </c>
      <c r="E241" s="8" t="s">
        <v>13</v>
      </c>
      <c r="F241" s="9">
        <v>42451.431944444441</v>
      </c>
      <c r="G241" s="10">
        <v>42509</v>
      </c>
      <c r="H241" s="10">
        <v>43969</v>
      </c>
      <c r="I241" s="8" t="s">
        <v>561</v>
      </c>
      <c r="J241" s="8" t="str">
        <f>"Southern, Sinazongwe"</f>
        <v>Southern, Sinazongwe</v>
      </c>
    </row>
    <row r="242" spans="1:10" x14ac:dyDescent="0.2">
      <c r="A242" s="1" t="str">
        <f>"21054-HQ-LEL"</f>
        <v>21054-HQ-LEL</v>
      </c>
      <c r="B242" s="5" t="s">
        <v>562</v>
      </c>
      <c r="C242" s="5" t="s">
        <v>15</v>
      </c>
      <c r="D242" s="5" t="s">
        <v>563</v>
      </c>
      <c r="E242" s="5" t="s">
        <v>13</v>
      </c>
      <c r="F242" s="6">
        <v>42451.490972222222</v>
      </c>
      <c r="G242" s="7">
        <v>42564</v>
      </c>
      <c r="H242" s="7">
        <v>44024</v>
      </c>
      <c r="I242" s="5" t="s">
        <v>2240</v>
      </c>
      <c r="J242" s="5" t="str">
        <f>"Southern, Kalomo"</f>
        <v>Southern, Kalomo</v>
      </c>
    </row>
    <row r="243" spans="1:10" ht="22.5" x14ac:dyDescent="0.2">
      <c r="A243" s="2" t="str">
        <f>"21055-HQ-AMR"</f>
        <v>21055-HQ-AMR</v>
      </c>
      <c r="B243" s="8" t="s">
        <v>564</v>
      </c>
      <c r="C243" s="8" t="s">
        <v>19</v>
      </c>
      <c r="D243" s="8" t="s">
        <v>565</v>
      </c>
      <c r="E243" s="8" t="s">
        <v>13</v>
      </c>
      <c r="F243" s="9">
        <v>42452.393055555556</v>
      </c>
      <c r="G243" s="10">
        <v>42590</v>
      </c>
      <c r="H243" s="10">
        <v>43319</v>
      </c>
      <c r="I243" s="8" t="s">
        <v>2241</v>
      </c>
      <c r="J243" s="8" t="str">
        <f>"Central, Kabwe"</f>
        <v>Central, Kabwe</v>
      </c>
    </row>
    <row r="244" spans="1:10" ht="22.5" x14ac:dyDescent="0.2">
      <c r="A244" s="1" t="str">
        <f>"21056-HQ-LEL"</f>
        <v>21056-HQ-LEL</v>
      </c>
      <c r="B244" s="5" t="s">
        <v>566</v>
      </c>
      <c r="C244" s="5" t="s">
        <v>15</v>
      </c>
      <c r="D244" s="5" t="s">
        <v>567</v>
      </c>
      <c r="E244" s="5" t="s">
        <v>13</v>
      </c>
      <c r="F244" s="6">
        <v>42452.461111111108</v>
      </c>
      <c r="G244" s="7">
        <v>42573</v>
      </c>
      <c r="H244" s="7">
        <v>44033</v>
      </c>
      <c r="I244" s="5" t="s">
        <v>568</v>
      </c>
      <c r="J244" s="5" t="str">
        <f>"North Western, Mwinilunga"</f>
        <v>North Western, Mwinilunga</v>
      </c>
    </row>
    <row r="245" spans="1:10" x14ac:dyDescent="0.2">
      <c r="A245" s="2" t="str">
        <f>"21058-HQ-AMR"</f>
        <v>21058-HQ-AMR</v>
      </c>
      <c r="B245" s="8" t="s">
        <v>569</v>
      </c>
      <c r="C245" s="8" t="s">
        <v>19</v>
      </c>
      <c r="D245" s="8" t="s">
        <v>570</v>
      </c>
      <c r="E245" s="8" t="s">
        <v>13</v>
      </c>
      <c r="F245" s="9">
        <v>42453.421527777777</v>
      </c>
      <c r="G245" s="10">
        <v>42656</v>
      </c>
      <c r="H245" s="10">
        <v>43385</v>
      </c>
      <c r="I245" s="8" t="s">
        <v>571</v>
      </c>
      <c r="J245" s="8" t="str">
        <f>"Copperbelt, Luanshya"</f>
        <v>Copperbelt, Luanshya</v>
      </c>
    </row>
    <row r="246" spans="1:10" x14ac:dyDescent="0.2">
      <c r="A246" s="1" t="str">
        <f>"21060-HQ-LEL"</f>
        <v>21060-HQ-LEL</v>
      </c>
      <c r="B246" s="5" t="s">
        <v>572</v>
      </c>
      <c r="C246" s="5" t="s">
        <v>15</v>
      </c>
      <c r="D246" s="5" t="s">
        <v>51</v>
      </c>
      <c r="E246" s="5" t="s">
        <v>138</v>
      </c>
      <c r="F246" s="6">
        <v>42453.442361111112</v>
      </c>
      <c r="G246" s="7">
        <v>42517</v>
      </c>
      <c r="H246" s="7">
        <v>43977</v>
      </c>
      <c r="I246" s="5" t="s">
        <v>573</v>
      </c>
      <c r="J246" s="5" t="str">
        <f>"North Western, Kasempa"</f>
        <v>North Western, Kasempa</v>
      </c>
    </row>
    <row r="247" spans="1:10" x14ac:dyDescent="0.2">
      <c r="A247" s="2" t="str">
        <f>"21063-HQ-SEL"</f>
        <v>21063-HQ-SEL</v>
      </c>
      <c r="B247" s="8" t="s">
        <v>574</v>
      </c>
      <c r="C247" s="8" t="s">
        <v>34</v>
      </c>
      <c r="D247" s="8" t="s">
        <v>575</v>
      </c>
      <c r="E247" s="8" t="s">
        <v>13</v>
      </c>
      <c r="F247" s="9">
        <v>42453.539583333331</v>
      </c>
      <c r="G247" s="10">
        <v>42648</v>
      </c>
      <c r="H247" s="10">
        <v>44108</v>
      </c>
      <c r="I247" s="8" t="s">
        <v>576</v>
      </c>
      <c r="J247" s="8" t="str">
        <f>"North Western, Mufumbwe"</f>
        <v>North Western, Mufumbwe</v>
      </c>
    </row>
    <row r="248" spans="1:10" ht="22.5" x14ac:dyDescent="0.2">
      <c r="A248" s="1" t="str">
        <f>"21064-HQ-LEL"</f>
        <v>21064-HQ-LEL</v>
      </c>
      <c r="B248" s="5" t="s">
        <v>311</v>
      </c>
      <c r="C248" s="5" t="s">
        <v>15</v>
      </c>
      <c r="D248" s="5" t="s">
        <v>116</v>
      </c>
      <c r="E248" s="5" t="s">
        <v>13</v>
      </c>
      <c r="F248" s="6">
        <v>42458.381944444445</v>
      </c>
      <c r="G248" s="7">
        <v>42529</v>
      </c>
      <c r="H248" s="7">
        <v>43989</v>
      </c>
      <c r="I248" s="5" t="s">
        <v>2242</v>
      </c>
      <c r="J248" s="5" t="str">
        <f>"Lusaka, Chongwe"</f>
        <v>Lusaka, Chongwe</v>
      </c>
    </row>
    <row r="249" spans="1:10" x14ac:dyDescent="0.2">
      <c r="A249" s="2" t="str">
        <f>"21067-HQ-LEL"</f>
        <v>21067-HQ-LEL</v>
      </c>
      <c r="B249" s="8" t="s">
        <v>577</v>
      </c>
      <c r="C249" s="8" t="s">
        <v>15</v>
      </c>
      <c r="D249" s="8" t="s">
        <v>102</v>
      </c>
      <c r="E249" s="8" t="s">
        <v>13</v>
      </c>
      <c r="F249" s="9">
        <v>42458.504166666666</v>
      </c>
      <c r="G249" s="10">
        <v>42552</v>
      </c>
      <c r="H249" s="10">
        <v>44012</v>
      </c>
      <c r="I249" s="8" t="s">
        <v>2243</v>
      </c>
      <c r="J249" s="8" t="str">
        <f>"North Western, Solwezi"</f>
        <v>North Western, Solwezi</v>
      </c>
    </row>
    <row r="250" spans="1:10" x14ac:dyDescent="0.2">
      <c r="A250" s="1" t="str">
        <f>"21069-HQ-AMR"</f>
        <v>21069-HQ-AMR</v>
      </c>
      <c r="B250" s="5" t="s">
        <v>578</v>
      </c>
      <c r="C250" s="5" t="s">
        <v>19</v>
      </c>
      <c r="D250" s="5" t="s">
        <v>575</v>
      </c>
      <c r="E250" s="5" t="s">
        <v>13</v>
      </c>
      <c r="F250" s="6">
        <v>42458.518055555556</v>
      </c>
      <c r="G250" s="7">
        <v>42632</v>
      </c>
      <c r="H250" s="7">
        <v>43361</v>
      </c>
      <c r="I250" s="5" t="s">
        <v>579</v>
      </c>
      <c r="J250" s="5" t="str">
        <f>"Central, Mkushi"</f>
        <v>Central, Mkushi</v>
      </c>
    </row>
    <row r="251" spans="1:10" ht="33.75" x14ac:dyDescent="0.2">
      <c r="A251" s="2" t="str">
        <f>"21072-HQ-LEL"</f>
        <v>21072-HQ-LEL</v>
      </c>
      <c r="B251" s="8" t="s">
        <v>580</v>
      </c>
      <c r="C251" s="8" t="s">
        <v>15</v>
      </c>
      <c r="D251" s="8" t="s">
        <v>581</v>
      </c>
      <c r="E251" s="8" t="s">
        <v>13</v>
      </c>
      <c r="F251" s="9">
        <v>42461.539583333331</v>
      </c>
      <c r="G251" s="10">
        <v>42621</v>
      </c>
      <c r="H251" s="10">
        <v>44081</v>
      </c>
      <c r="I251" s="8" t="s">
        <v>2244</v>
      </c>
      <c r="J251" s="8" t="str">
        <f>"Lusaka, Kafue; Southern, Mazabuka"</f>
        <v>Lusaka, Kafue; Southern, Mazabuka</v>
      </c>
    </row>
    <row r="252" spans="1:10" x14ac:dyDescent="0.2">
      <c r="A252" s="1" t="str">
        <f>"21074-HQ-LEL"</f>
        <v>21074-HQ-LEL</v>
      </c>
      <c r="B252" s="5" t="s">
        <v>582</v>
      </c>
      <c r="C252" s="5" t="s">
        <v>15</v>
      </c>
      <c r="D252" s="5" t="s">
        <v>308</v>
      </c>
      <c r="E252" s="5" t="s">
        <v>13</v>
      </c>
      <c r="F252" s="6">
        <v>42464.431250000001</v>
      </c>
      <c r="G252" s="7">
        <v>42564</v>
      </c>
      <c r="H252" s="7">
        <v>44024</v>
      </c>
      <c r="I252" s="5" t="s">
        <v>583</v>
      </c>
      <c r="J252" s="5" t="str">
        <f>"Central, Mkushi; Lusaka, Chongwe"</f>
        <v>Central, Mkushi; Lusaka, Chongwe</v>
      </c>
    </row>
    <row r="253" spans="1:10" x14ac:dyDescent="0.2">
      <c r="A253" s="2" t="str">
        <f>"21076-HQ-SEL"</f>
        <v>21076-HQ-SEL</v>
      </c>
      <c r="B253" s="8" t="s">
        <v>276</v>
      </c>
      <c r="C253" s="8" t="s">
        <v>34</v>
      </c>
      <c r="D253" s="8" t="s">
        <v>510</v>
      </c>
      <c r="E253" s="8" t="s">
        <v>13</v>
      </c>
      <c r="F253" s="9">
        <v>42465.384722222225</v>
      </c>
      <c r="G253" s="10">
        <v>42495</v>
      </c>
      <c r="H253" s="10">
        <v>43955</v>
      </c>
      <c r="I253" s="8" t="s">
        <v>2245</v>
      </c>
      <c r="J253" s="8" t="str">
        <f>"Southern, Choma, Sinazongwe"</f>
        <v>Southern, Choma, Sinazongwe</v>
      </c>
    </row>
    <row r="254" spans="1:10" x14ac:dyDescent="0.2">
      <c r="A254" s="1" t="str">
        <f>"21080-HQ-SEL"</f>
        <v>21080-HQ-SEL</v>
      </c>
      <c r="B254" s="5" t="s">
        <v>584</v>
      </c>
      <c r="C254" s="5" t="s">
        <v>34</v>
      </c>
      <c r="D254" s="5" t="s">
        <v>38</v>
      </c>
      <c r="E254" s="5" t="s">
        <v>13</v>
      </c>
      <c r="F254" s="6">
        <v>42466.410416666666</v>
      </c>
      <c r="G254" s="7">
        <v>42606</v>
      </c>
      <c r="H254" s="7">
        <v>44066</v>
      </c>
      <c r="I254" s="5" t="s">
        <v>2246</v>
      </c>
      <c r="J254" s="5" t="str">
        <f>"Southern, Sinazongwe"</f>
        <v>Southern, Sinazongwe</v>
      </c>
    </row>
    <row r="255" spans="1:10" x14ac:dyDescent="0.2">
      <c r="A255" s="2" t="str">
        <f>"21094-HQ-SEL"</f>
        <v>21094-HQ-SEL</v>
      </c>
      <c r="B255" s="8" t="s">
        <v>585</v>
      </c>
      <c r="C255" s="8" t="s">
        <v>34</v>
      </c>
      <c r="D255" s="8" t="s">
        <v>350</v>
      </c>
      <c r="E255" s="8" t="s">
        <v>13</v>
      </c>
      <c r="F255" s="9">
        <v>42468.525000000001</v>
      </c>
      <c r="G255" s="10">
        <v>42569</v>
      </c>
      <c r="H255" s="10">
        <v>44029</v>
      </c>
      <c r="I255" s="8" t="s">
        <v>586</v>
      </c>
      <c r="J255" s="8" t="str">
        <f>"North Western, Solwezi"</f>
        <v>North Western, Solwezi</v>
      </c>
    </row>
    <row r="256" spans="1:10" x14ac:dyDescent="0.2">
      <c r="A256" s="1" t="str">
        <f>"21095-HQ-SEL"</f>
        <v>21095-HQ-SEL</v>
      </c>
      <c r="B256" s="5" t="s">
        <v>585</v>
      </c>
      <c r="C256" s="5" t="s">
        <v>34</v>
      </c>
      <c r="D256" s="5" t="s">
        <v>113</v>
      </c>
      <c r="E256" s="5" t="s">
        <v>13</v>
      </c>
      <c r="F256" s="6">
        <v>42468.527777777781</v>
      </c>
      <c r="G256" s="7">
        <v>42569</v>
      </c>
      <c r="H256" s="7">
        <v>44029</v>
      </c>
      <c r="I256" s="5" t="s">
        <v>587</v>
      </c>
      <c r="J256" s="5" t="str">
        <f>"North Western, Solwezi"</f>
        <v>North Western, Solwezi</v>
      </c>
    </row>
    <row r="257" spans="1:10" x14ac:dyDescent="0.2">
      <c r="A257" s="2" t="str">
        <f>"21097-HQ-LEL"</f>
        <v>21097-HQ-LEL</v>
      </c>
      <c r="B257" s="8" t="s">
        <v>588</v>
      </c>
      <c r="C257" s="8" t="s">
        <v>15</v>
      </c>
      <c r="D257" s="8" t="s">
        <v>589</v>
      </c>
      <c r="E257" s="8" t="s">
        <v>13</v>
      </c>
      <c r="F257" s="9">
        <v>42472.461111111108</v>
      </c>
      <c r="G257" s="10">
        <v>42649</v>
      </c>
      <c r="H257" s="10">
        <v>44109</v>
      </c>
      <c r="I257" s="8" t="s">
        <v>2247</v>
      </c>
      <c r="J257" s="8" t="str">
        <f>"Central, Serenje; Northern, Mpika"</f>
        <v>Central, Serenje; Northern, Mpika</v>
      </c>
    </row>
    <row r="258" spans="1:10" x14ac:dyDescent="0.2">
      <c r="A258" s="1" t="str">
        <f>"21099-HQ-SEL"</f>
        <v>21099-HQ-SEL</v>
      </c>
      <c r="B258" s="5" t="s">
        <v>590</v>
      </c>
      <c r="C258" s="5" t="s">
        <v>34</v>
      </c>
      <c r="D258" s="5" t="s">
        <v>60</v>
      </c>
      <c r="E258" s="5" t="s">
        <v>13</v>
      </c>
      <c r="F258" s="6">
        <v>42472.524305555555</v>
      </c>
      <c r="G258" s="7">
        <v>42586</v>
      </c>
      <c r="H258" s="7">
        <v>44046</v>
      </c>
      <c r="I258" s="5" t="s">
        <v>591</v>
      </c>
      <c r="J258" s="5" t="str">
        <f>"North Western, Mufumbwe"</f>
        <v>North Western, Mufumbwe</v>
      </c>
    </row>
    <row r="259" spans="1:10" x14ac:dyDescent="0.2">
      <c r="A259" s="2" t="str">
        <f>"21100-HQ-SEL"</f>
        <v>21100-HQ-SEL</v>
      </c>
      <c r="B259" s="8" t="s">
        <v>590</v>
      </c>
      <c r="C259" s="8" t="s">
        <v>34</v>
      </c>
      <c r="D259" s="8" t="s">
        <v>592</v>
      </c>
      <c r="E259" s="8" t="s">
        <v>13</v>
      </c>
      <c r="F259" s="9">
        <v>42472.525694444441</v>
      </c>
      <c r="G259" s="10">
        <v>42545</v>
      </c>
      <c r="H259" s="10">
        <v>44005</v>
      </c>
      <c r="I259" s="8" t="s">
        <v>593</v>
      </c>
      <c r="J259" s="8" t="str">
        <f>"North Western, Mufumbwe"</f>
        <v>North Western, Mufumbwe</v>
      </c>
    </row>
    <row r="260" spans="1:10" x14ac:dyDescent="0.2">
      <c r="A260" s="1" t="str">
        <f>"21103-HQ-SML"</f>
        <v>21103-HQ-SML</v>
      </c>
      <c r="B260" s="5" t="s">
        <v>594</v>
      </c>
      <c r="C260" s="5" t="s">
        <v>11</v>
      </c>
      <c r="D260" s="5" t="s">
        <v>102</v>
      </c>
      <c r="E260" s="5" t="s">
        <v>13</v>
      </c>
      <c r="F260" s="6">
        <v>42473.489583333336</v>
      </c>
      <c r="G260" s="7">
        <v>42549</v>
      </c>
      <c r="H260" s="7">
        <v>46200</v>
      </c>
      <c r="I260" s="5" t="s">
        <v>595</v>
      </c>
      <c r="J260" s="5" t="str">
        <f>"Central, Chibombo"</f>
        <v>Central, Chibombo</v>
      </c>
    </row>
    <row r="261" spans="1:10" x14ac:dyDescent="0.2">
      <c r="A261" s="2" t="str">
        <f>"21104-HQ-SML"</f>
        <v>21104-HQ-SML</v>
      </c>
      <c r="B261" s="8" t="s">
        <v>594</v>
      </c>
      <c r="C261" s="8" t="s">
        <v>11</v>
      </c>
      <c r="D261" s="8" t="s">
        <v>102</v>
      </c>
      <c r="E261" s="8" t="s">
        <v>13</v>
      </c>
      <c r="F261" s="9">
        <v>42473.491666666669</v>
      </c>
      <c r="G261" s="10">
        <v>42549</v>
      </c>
      <c r="H261" s="10">
        <v>46200</v>
      </c>
      <c r="I261" s="8" t="s">
        <v>596</v>
      </c>
      <c r="J261" s="8" t="str">
        <f>"Central, Chibombo"</f>
        <v>Central, Chibombo</v>
      </c>
    </row>
    <row r="262" spans="1:10" x14ac:dyDescent="0.2">
      <c r="A262" s="1" t="str">
        <f>"21107-HQ-AMR"</f>
        <v>21107-HQ-AMR</v>
      </c>
      <c r="B262" s="5" t="s">
        <v>597</v>
      </c>
      <c r="C262" s="5" t="s">
        <v>19</v>
      </c>
      <c r="D262" s="5" t="s">
        <v>598</v>
      </c>
      <c r="E262" s="5" t="s">
        <v>13</v>
      </c>
      <c r="F262" s="6">
        <v>42475.402083333334</v>
      </c>
      <c r="G262" s="7">
        <v>42577</v>
      </c>
      <c r="H262" s="7">
        <v>43306</v>
      </c>
      <c r="I262" s="5" t="s">
        <v>599</v>
      </c>
      <c r="J262" s="5" t="str">
        <f>"Central, Mkushi"</f>
        <v>Central, Mkushi</v>
      </c>
    </row>
    <row r="263" spans="1:10" x14ac:dyDescent="0.2">
      <c r="A263" s="2" t="str">
        <f>"21108-HQ-LEL"</f>
        <v>21108-HQ-LEL</v>
      </c>
      <c r="B263" s="8" t="s">
        <v>600</v>
      </c>
      <c r="C263" s="8" t="s">
        <v>15</v>
      </c>
      <c r="D263" s="8" t="s">
        <v>350</v>
      </c>
      <c r="E263" s="8" t="s">
        <v>13</v>
      </c>
      <c r="F263" s="9">
        <v>42475.500381944446</v>
      </c>
      <c r="G263" s="10">
        <v>42641</v>
      </c>
      <c r="H263" s="10">
        <v>44101</v>
      </c>
      <c r="I263" s="8" t="s">
        <v>601</v>
      </c>
      <c r="J263" s="8" t="str">
        <f>"Central, Kapiri Mposhi, Mkushi"</f>
        <v>Central, Kapiri Mposhi, Mkushi</v>
      </c>
    </row>
    <row r="264" spans="1:10" x14ac:dyDescent="0.2">
      <c r="A264" s="1" t="str">
        <f>"21112-HQ-LEL"</f>
        <v>21112-HQ-LEL</v>
      </c>
      <c r="B264" s="5" t="s">
        <v>602</v>
      </c>
      <c r="C264" s="5" t="s">
        <v>15</v>
      </c>
      <c r="D264" s="5" t="s">
        <v>603</v>
      </c>
      <c r="E264" s="5" t="s">
        <v>13</v>
      </c>
      <c r="F264" s="6">
        <v>42479.538194444445</v>
      </c>
      <c r="G264" s="7">
        <v>42559</v>
      </c>
      <c r="H264" s="7">
        <v>44019</v>
      </c>
      <c r="I264" s="5" t="s">
        <v>604</v>
      </c>
      <c r="J264" s="5" t="str">
        <f>"Lusaka, Kafue"</f>
        <v>Lusaka, Kafue</v>
      </c>
    </row>
    <row r="265" spans="1:10" x14ac:dyDescent="0.2">
      <c r="A265" s="2" t="str">
        <f>"21114-HQ-AMR"</f>
        <v>21114-HQ-AMR</v>
      </c>
      <c r="B265" s="8" t="s">
        <v>605</v>
      </c>
      <c r="C265" s="8" t="s">
        <v>19</v>
      </c>
      <c r="D265" s="8" t="s">
        <v>51</v>
      </c>
      <c r="E265" s="8" t="s">
        <v>13</v>
      </c>
      <c r="F265" s="9">
        <v>42480.381944444445</v>
      </c>
      <c r="G265" s="10">
        <v>42536</v>
      </c>
      <c r="H265" s="10">
        <v>43265</v>
      </c>
      <c r="I265" s="8" t="s">
        <v>606</v>
      </c>
      <c r="J265" s="8" t="str">
        <f>"North Western, Solwezi"</f>
        <v>North Western, Solwezi</v>
      </c>
    </row>
    <row r="266" spans="1:10" x14ac:dyDescent="0.2">
      <c r="A266" s="1" t="str">
        <f>"21115-HQ-AMR"</f>
        <v>21115-HQ-AMR</v>
      </c>
      <c r="B266" s="5" t="s">
        <v>607</v>
      </c>
      <c r="C266" s="5" t="s">
        <v>19</v>
      </c>
      <c r="D266" s="5" t="s">
        <v>608</v>
      </c>
      <c r="E266" s="5" t="s">
        <v>13</v>
      </c>
      <c r="F266" s="6">
        <v>42480.425694444442</v>
      </c>
      <c r="G266" s="7">
        <v>42585</v>
      </c>
      <c r="H266" s="7">
        <v>43314</v>
      </c>
      <c r="I266" s="5" t="s">
        <v>609</v>
      </c>
      <c r="J266" s="5" t="str">
        <f>"Northern, Mpika"</f>
        <v>Northern, Mpika</v>
      </c>
    </row>
    <row r="267" spans="1:10" x14ac:dyDescent="0.2">
      <c r="A267" s="2" t="str">
        <f>"21116-HQ-LEL"</f>
        <v>21116-HQ-LEL</v>
      </c>
      <c r="B267" s="8" t="s">
        <v>610</v>
      </c>
      <c r="C267" s="8" t="s">
        <v>15</v>
      </c>
      <c r="D267" s="8" t="s">
        <v>611</v>
      </c>
      <c r="E267" s="8" t="s">
        <v>13</v>
      </c>
      <c r="F267" s="9">
        <v>42480.493055555555</v>
      </c>
      <c r="G267" s="10">
        <v>42703</v>
      </c>
      <c r="H267" s="10">
        <v>44163</v>
      </c>
      <c r="I267" s="8" t="s">
        <v>2248</v>
      </c>
      <c r="J267" s="8" t="str">
        <f>"Lusaka, Kafue; Southern, Mazabuka"</f>
        <v>Lusaka, Kafue; Southern, Mazabuka</v>
      </c>
    </row>
    <row r="268" spans="1:10" x14ac:dyDescent="0.2">
      <c r="A268" s="1" t="str">
        <f>"21123-HQ-LEL"</f>
        <v>21123-HQ-LEL</v>
      </c>
      <c r="B268" s="5" t="s">
        <v>612</v>
      </c>
      <c r="C268" s="5" t="s">
        <v>15</v>
      </c>
      <c r="D268" s="5" t="s">
        <v>74</v>
      </c>
      <c r="E268" s="5" t="s">
        <v>13</v>
      </c>
      <c r="F268" s="6">
        <v>42482.489583333336</v>
      </c>
      <c r="G268" s="7">
        <v>42559</v>
      </c>
      <c r="H268" s="7">
        <v>44019</v>
      </c>
      <c r="I268" s="5" t="s">
        <v>613</v>
      </c>
      <c r="J268" s="5" t="str">
        <f>"Central, Chibombo"</f>
        <v>Central, Chibombo</v>
      </c>
    </row>
    <row r="269" spans="1:10" x14ac:dyDescent="0.2">
      <c r="A269" s="2" t="str">
        <f>"21124-HQ-SEL"</f>
        <v>21124-HQ-SEL</v>
      </c>
      <c r="B269" s="8" t="s">
        <v>614</v>
      </c>
      <c r="C269" s="8" t="s">
        <v>34</v>
      </c>
      <c r="D269" s="8" t="s">
        <v>615</v>
      </c>
      <c r="E269" s="8" t="s">
        <v>13</v>
      </c>
      <c r="F269" s="9">
        <v>42485.478900462964</v>
      </c>
      <c r="G269" s="10">
        <v>42538</v>
      </c>
      <c r="H269" s="10">
        <v>43998</v>
      </c>
      <c r="I269" s="8" t="s">
        <v>616</v>
      </c>
      <c r="J269" s="8" t="str">
        <f>"Northern, Mpika"</f>
        <v>Northern, Mpika</v>
      </c>
    </row>
    <row r="270" spans="1:10" x14ac:dyDescent="0.2">
      <c r="A270" s="1" t="str">
        <f>"21125-HQ-LEL"</f>
        <v>21125-HQ-LEL</v>
      </c>
      <c r="B270" s="5" t="s">
        <v>617</v>
      </c>
      <c r="C270" s="5" t="s">
        <v>15</v>
      </c>
      <c r="D270" s="5" t="s">
        <v>288</v>
      </c>
      <c r="E270" s="5" t="s">
        <v>13</v>
      </c>
      <c r="F270" s="6">
        <v>42486.411030092589</v>
      </c>
      <c r="G270" s="7">
        <v>42531</v>
      </c>
      <c r="H270" s="7">
        <v>43991</v>
      </c>
      <c r="I270" s="5" t="s">
        <v>2249</v>
      </c>
      <c r="J270" s="5" t="str">
        <f>"North Western, Solwezi"</f>
        <v>North Western, Solwezi</v>
      </c>
    </row>
    <row r="271" spans="1:10" x14ac:dyDescent="0.2">
      <c r="A271" s="2" t="str">
        <f>"21132-HQ-AMR"</f>
        <v>21132-HQ-AMR</v>
      </c>
      <c r="B271" s="8" t="s">
        <v>293</v>
      </c>
      <c r="C271" s="8" t="s">
        <v>19</v>
      </c>
      <c r="D271" s="8" t="s">
        <v>102</v>
      </c>
      <c r="E271" s="8" t="s">
        <v>13</v>
      </c>
      <c r="F271" s="9">
        <v>42489.411111111112</v>
      </c>
      <c r="G271" s="10">
        <v>42530</v>
      </c>
      <c r="H271" s="10">
        <v>43259</v>
      </c>
      <c r="I271" s="8" t="s">
        <v>618</v>
      </c>
      <c r="J271" s="8" t="str">
        <f>"Lusaka, Kafue"</f>
        <v>Lusaka, Kafue</v>
      </c>
    </row>
    <row r="272" spans="1:10" x14ac:dyDescent="0.2">
      <c r="A272" s="1" t="str">
        <f>"21133-HQ-SEL"</f>
        <v>21133-HQ-SEL</v>
      </c>
      <c r="B272" s="5" t="s">
        <v>619</v>
      </c>
      <c r="C272" s="5" t="s">
        <v>34</v>
      </c>
      <c r="D272" s="5" t="s">
        <v>620</v>
      </c>
      <c r="E272" s="5" t="s">
        <v>13</v>
      </c>
      <c r="F272" s="6">
        <v>42489.500694444447</v>
      </c>
      <c r="G272" s="7">
        <v>42551</v>
      </c>
      <c r="H272" s="7">
        <v>44011</v>
      </c>
      <c r="I272" s="5" t="s">
        <v>621</v>
      </c>
      <c r="J272" s="5" t="str">
        <f>"Northern, Mpika"</f>
        <v>Northern, Mpika</v>
      </c>
    </row>
    <row r="273" spans="1:10" x14ac:dyDescent="0.2">
      <c r="A273" s="2" t="str">
        <f>"21136-HQ-LEL"</f>
        <v>21136-HQ-LEL</v>
      </c>
      <c r="B273" s="8" t="s">
        <v>622</v>
      </c>
      <c r="C273" s="8" t="s">
        <v>15</v>
      </c>
      <c r="D273" s="8" t="s">
        <v>515</v>
      </c>
      <c r="E273" s="8" t="s">
        <v>13</v>
      </c>
      <c r="F273" s="9">
        <v>42494.496527777781</v>
      </c>
      <c r="G273" s="10">
        <v>42558</v>
      </c>
      <c r="H273" s="10">
        <v>44018</v>
      </c>
      <c r="I273" s="8" t="s">
        <v>623</v>
      </c>
      <c r="J273" s="8" t="str">
        <f>"Central, Mkushi"</f>
        <v>Central, Mkushi</v>
      </c>
    </row>
    <row r="274" spans="1:10" x14ac:dyDescent="0.2">
      <c r="A274" s="1" t="str">
        <f>"21137-HQ-LEL"</f>
        <v>21137-HQ-LEL</v>
      </c>
      <c r="B274" s="5" t="s">
        <v>624</v>
      </c>
      <c r="C274" s="5" t="s">
        <v>15</v>
      </c>
      <c r="D274" s="5" t="s">
        <v>85</v>
      </c>
      <c r="E274" s="5" t="s">
        <v>13</v>
      </c>
      <c r="F274" s="6">
        <v>42494.493750000001</v>
      </c>
      <c r="G274" s="7">
        <v>42604</v>
      </c>
      <c r="H274" s="7">
        <v>44064</v>
      </c>
      <c r="I274" s="5" t="s">
        <v>625</v>
      </c>
      <c r="J274" s="5" t="str">
        <f>"Southern, Monze, Namwala"</f>
        <v>Southern, Monze, Namwala</v>
      </c>
    </row>
    <row r="275" spans="1:10" ht="22.5" x14ac:dyDescent="0.2">
      <c r="A275" s="2" t="str">
        <f>"21141-HQ-LEL"</f>
        <v>21141-HQ-LEL</v>
      </c>
      <c r="B275" s="8" t="s">
        <v>311</v>
      </c>
      <c r="C275" s="8" t="s">
        <v>15</v>
      </c>
      <c r="D275" s="8" t="s">
        <v>626</v>
      </c>
      <c r="E275" s="8" t="s">
        <v>13</v>
      </c>
      <c r="F275" s="9">
        <v>42500.397222222222</v>
      </c>
      <c r="G275" s="10">
        <v>42545</v>
      </c>
      <c r="H275" s="10">
        <v>44005</v>
      </c>
      <c r="I275" s="8" t="s">
        <v>627</v>
      </c>
      <c r="J275" s="8" t="str">
        <f>"North Western, Mwinilunga, Solwezi"</f>
        <v>North Western, Mwinilunga, Solwezi</v>
      </c>
    </row>
    <row r="276" spans="1:10" x14ac:dyDescent="0.2">
      <c r="A276" s="1" t="str">
        <f>"21144-HQ-SEL"</f>
        <v>21144-HQ-SEL</v>
      </c>
      <c r="B276" s="5" t="s">
        <v>628</v>
      </c>
      <c r="C276" s="5" t="s">
        <v>34</v>
      </c>
      <c r="D276" s="5" t="s">
        <v>629</v>
      </c>
      <c r="E276" s="5" t="s">
        <v>13</v>
      </c>
      <c r="F276" s="6">
        <v>42500.440972222219</v>
      </c>
      <c r="G276" s="7">
        <v>42535</v>
      </c>
      <c r="H276" s="7">
        <v>43995</v>
      </c>
      <c r="I276" s="5" t="s">
        <v>630</v>
      </c>
      <c r="J276" s="5" t="str">
        <f>"Central, Chibombo"</f>
        <v>Central, Chibombo</v>
      </c>
    </row>
    <row r="277" spans="1:10" x14ac:dyDescent="0.2">
      <c r="A277" s="2" t="str">
        <f>"21145-HQ-SEL"</f>
        <v>21145-HQ-SEL</v>
      </c>
      <c r="B277" s="8" t="s">
        <v>628</v>
      </c>
      <c r="C277" s="8" t="s">
        <v>34</v>
      </c>
      <c r="D277" s="8" t="s">
        <v>629</v>
      </c>
      <c r="E277" s="8" t="s">
        <v>13</v>
      </c>
      <c r="F277" s="9">
        <v>42500.446527777778</v>
      </c>
      <c r="G277" s="10">
        <v>42535</v>
      </c>
      <c r="H277" s="10">
        <v>43995</v>
      </c>
      <c r="I277" s="8" t="s">
        <v>631</v>
      </c>
      <c r="J277" s="8" t="str">
        <f>"Central, Chibombo"</f>
        <v>Central, Chibombo</v>
      </c>
    </row>
    <row r="278" spans="1:10" x14ac:dyDescent="0.2">
      <c r="A278" s="1" t="str">
        <f>"21146-HQ-SEL"</f>
        <v>21146-HQ-SEL</v>
      </c>
      <c r="B278" s="5" t="s">
        <v>628</v>
      </c>
      <c r="C278" s="5" t="s">
        <v>34</v>
      </c>
      <c r="D278" s="5" t="s">
        <v>629</v>
      </c>
      <c r="E278" s="5" t="s">
        <v>13</v>
      </c>
      <c r="F278" s="6">
        <v>42500.449305555558</v>
      </c>
      <c r="G278" s="7">
        <v>42535</v>
      </c>
      <c r="H278" s="7">
        <v>43995</v>
      </c>
      <c r="I278" s="5" t="s">
        <v>632</v>
      </c>
      <c r="J278" s="5" t="str">
        <f>"Central, Chibombo"</f>
        <v>Central, Chibombo</v>
      </c>
    </row>
    <row r="279" spans="1:10" x14ac:dyDescent="0.2">
      <c r="A279" s="2" t="str">
        <f>"21148-HQ-LEL"</f>
        <v>21148-HQ-LEL</v>
      </c>
      <c r="B279" s="8" t="s">
        <v>633</v>
      </c>
      <c r="C279" s="8" t="s">
        <v>15</v>
      </c>
      <c r="D279" s="8" t="s">
        <v>634</v>
      </c>
      <c r="E279" s="8" t="s">
        <v>13</v>
      </c>
      <c r="F279" s="9">
        <v>42500.496527777781</v>
      </c>
      <c r="G279" s="10">
        <v>42552</v>
      </c>
      <c r="H279" s="10">
        <v>44012</v>
      </c>
      <c r="I279" s="8" t="s">
        <v>635</v>
      </c>
      <c r="J279" s="8" t="str">
        <f>"Eastern, Chama; Northern, Isoka"</f>
        <v>Eastern, Chama; Northern, Isoka</v>
      </c>
    </row>
    <row r="280" spans="1:10" x14ac:dyDescent="0.2">
      <c r="A280" s="1" t="str">
        <f>"21149-HQ-AMR"</f>
        <v>21149-HQ-AMR</v>
      </c>
      <c r="B280" s="5" t="s">
        <v>636</v>
      </c>
      <c r="C280" s="5" t="s">
        <v>19</v>
      </c>
      <c r="D280" s="5" t="s">
        <v>12</v>
      </c>
      <c r="E280" s="5" t="s">
        <v>13</v>
      </c>
      <c r="F280" s="6">
        <v>42501.379166666666</v>
      </c>
      <c r="G280" s="7">
        <v>42531</v>
      </c>
      <c r="H280" s="7">
        <v>43260</v>
      </c>
      <c r="I280" s="5" t="s">
        <v>637</v>
      </c>
      <c r="J280" s="5" t="str">
        <f>"Lusaka, Kafue"</f>
        <v>Lusaka, Kafue</v>
      </c>
    </row>
    <row r="281" spans="1:10" x14ac:dyDescent="0.2">
      <c r="A281" s="2" t="str">
        <f>"21150-HQ-SEL"</f>
        <v>21150-HQ-SEL</v>
      </c>
      <c r="B281" s="8" t="s">
        <v>638</v>
      </c>
      <c r="C281" s="8" t="s">
        <v>34</v>
      </c>
      <c r="D281" s="8" t="s">
        <v>639</v>
      </c>
      <c r="E281" s="8" t="s">
        <v>13</v>
      </c>
      <c r="F281" s="9">
        <v>42501.515972222223</v>
      </c>
      <c r="G281" s="10">
        <v>42535</v>
      </c>
      <c r="H281" s="10">
        <v>43995</v>
      </c>
      <c r="I281" s="8" t="s">
        <v>640</v>
      </c>
      <c r="J281" s="8" t="str">
        <f>"Central, Mkushi"</f>
        <v>Central, Mkushi</v>
      </c>
    </row>
    <row r="282" spans="1:10" ht="22.5" x14ac:dyDescent="0.2">
      <c r="A282" s="1" t="str">
        <f>"21151-HQ-LEL"</f>
        <v>21151-HQ-LEL</v>
      </c>
      <c r="B282" s="5" t="s">
        <v>641</v>
      </c>
      <c r="C282" s="5" t="s">
        <v>15</v>
      </c>
      <c r="D282" s="5" t="s">
        <v>515</v>
      </c>
      <c r="E282" s="5" t="s">
        <v>13</v>
      </c>
      <c r="F282" s="6">
        <v>42503.445138888892</v>
      </c>
      <c r="G282" s="7">
        <v>42689</v>
      </c>
      <c r="H282" s="7">
        <v>44149</v>
      </c>
      <c r="I282" s="5" t="s">
        <v>642</v>
      </c>
      <c r="J282" s="5" t="str">
        <f>"North Western, Kasempa"</f>
        <v>North Western, Kasempa</v>
      </c>
    </row>
    <row r="283" spans="1:10" ht="22.5" x14ac:dyDescent="0.2">
      <c r="A283" s="2" t="str">
        <f>"21152-HQ-LEL"</f>
        <v>21152-HQ-LEL</v>
      </c>
      <c r="B283" s="8" t="s">
        <v>641</v>
      </c>
      <c r="C283" s="8" t="s">
        <v>15</v>
      </c>
      <c r="D283" s="8" t="s">
        <v>515</v>
      </c>
      <c r="E283" s="8" t="s">
        <v>13</v>
      </c>
      <c r="F283" s="9">
        <v>42503.447222222225</v>
      </c>
      <c r="G283" s="10">
        <v>42723</v>
      </c>
      <c r="H283" s="10">
        <v>44183</v>
      </c>
      <c r="I283" s="8" t="s">
        <v>643</v>
      </c>
      <c r="J283" s="8" t="str">
        <f>"North Western, Kasempa"</f>
        <v>North Western, Kasempa</v>
      </c>
    </row>
    <row r="284" spans="1:10" x14ac:dyDescent="0.2">
      <c r="A284" s="1" t="str">
        <f>"21155-HQ-LEL"</f>
        <v>21155-HQ-LEL</v>
      </c>
      <c r="B284" s="5" t="s">
        <v>115</v>
      </c>
      <c r="C284" s="5" t="s">
        <v>15</v>
      </c>
      <c r="D284" s="5" t="s">
        <v>116</v>
      </c>
      <c r="E284" s="5" t="s">
        <v>13</v>
      </c>
      <c r="F284" s="6">
        <v>42508.436111111114</v>
      </c>
      <c r="G284" s="7">
        <v>42562</v>
      </c>
      <c r="H284" s="7">
        <v>44022</v>
      </c>
      <c r="I284" s="5" t="s">
        <v>644</v>
      </c>
      <c r="J284" s="5" t="str">
        <f>"North Western, Mwinilunga"</f>
        <v>North Western, Mwinilunga</v>
      </c>
    </row>
    <row r="285" spans="1:10" x14ac:dyDescent="0.2">
      <c r="A285" s="2" t="str">
        <f>"21156-HQ-SEL"</f>
        <v>21156-HQ-SEL</v>
      </c>
      <c r="B285" s="8" t="s">
        <v>638</v>
      </c>
      <c r="C285" s="8" t="s">
        <v>34</v>
      </c>
      <c r="D285" s="8" t="s">
        <v>645</v>
      </c>
      <c r="E285" s="8" t="s">
        <v>13</v>
      </c>
      <c r="F285" s="9">
        <v>42509.472916666666</v>
      </c>
      <c r="G285" s="10">
        <v>42559</v>
      </c>
      <c r="H285" s="10">
        <v>44019</v>
      </c>
      <c r="I285" s="8" t="s">
        <v>646</v>
      </c>
      <c r="J285" s="8" t="str">
        <f>"North Western, Mwinilunga"</f>
        <v>North Western, Mwinilunga</v>
      </c>
    </row>
    <row r="286" spans="1:10" x14ac:dyDescent="0.2">
      <c r="A286" s="1" t="str">
        <f>"21157-HQ-SEL"</f>
        <v>21157-HQ-SEL</v>
      </c>
      <c r="B286" s="5" t="s">
        <v>647</v>
      </c>
      <c r="C286" s="5" t="s">
        <v>34</v>
      </c>
      <c r="D286" s="5" t="s">
        <v>68</v>
      </c>
      <c r="E286" s="5" t="s">
        <v>13</v>
      </c>
      <c r="F286" s="6">
        <v>42510.396527777775</v>
      </c>
      <c r="G286" s="7">
        <v>42698</v>
      </c>
      <c r="H286" s="7">
        <v>44158</v>
      </c>
      <c r="I286" s="5" t="s">
        <v>648</v>
      </c>
      <c r="J286" s="5" t="str">
        <f>"North Western, Solwezi"</f>
        <v>North Western, Solwezi</v>
      </c>
    </row>
    <row r="287" spans="1:10" x14ac:dyDescent="0.2">
      <c r="A287" s="2" t="str">
        <f>"21159-HQ-SEL"</f>
        <v>21159-HQ-SEL</v>
      </c>
      <c r="B287" s="8" t="s">
        <v>649</v>
      </c>
      <c r="C287" s="8" t="s">
        <v>34</v>
      </c>
      <c r="D287" s="8" t="s">
        <v>650</v>
      </c>
      <c r="E287" s="8" t="s">
        <v>13</v>
      </c>
      <c r="F287" s="9">
        <v>42510.496527777781</v>
      </c>
      <c r="G287" s="10">
        <v>42530</v>
      </c>
      <c r="H287" s="10">
        <v>43990</v>
      </c>
      <c r="I287" s="8" t="s">
        <v>651</v>
      </c>
      <c r="J287" s="8" t="str">
        <f>"Eastern, Petauke"</f>
        <v>Eastern, Petauke</v>
      </c>
    </row>
    <row r="288" spans="1:10" x14ac:dyDescent="0.2">
      <c r="A288" s="1" t="str">
        <f>"21163-HQ-SEL"</f>
        <v>21163-HQ-SEL</v>
      </c>
      <c r="B288" s="5" t="s">
        <v>365</v>
      </c>
      <c r="C288" s="5" t="s">
        <v>34</v>
      </c>
      <c r="D288" s="5" t="s">
        <v>652</v>
      </c>
      <c r="E288" s="5" t="s">
        <v>13</v>
      </c>
      <c r="F288" s="6">
        <v>42513.459027777775</v>
      </c>
      <c r="G288" s="7">
        <v>42559</v>
      </c>
      <c r="H288" s="7">
        <v>44019</v>
      </c>
      <c r="I288" s="5" t="s">
        <v>2250</v>
      </c>
      <c r="J288" s="5" t="str">
        <f>"North Western, Mwinilunga"</f>
        <v>North Western, Mwinilunga</v>
      </c>
    </row>
    <row r="289" spans="1:10" x14ac:dyDescent="0.2">
      <c r="A289" s="2" t="str">
        <f>"21166-HQ-LEL"</f>
        <v>21166-HQ-LEL</v>
      </c>
      <c r="B289" s="8" t="s">
        <v>577</v>
      </c>
      <c r="C289" s="8" t="s">
        <v>15</v>
      </c>
      <c r="D289" s="8" t="s">
        <v>102</v>
      </c>
      <c r="E289" s="8" t="s">
        <v>13</v>
      </c>
      <c r="F289" s="9">
        <v>42517.518055555556</v>
      </c>
      <c r="G289" s="10">
        <v>42552</v>
      </c>
      <c r="H289" s="10">
        <v>44012</v>
      </c>
      <c r="I289" s="8" t="s">
        <v>2251</v>
      </c>
      <c r="J289" s="8" t="str">
        <f>"North Western, Kasempa"</f>
        <v>North Western, Kasempa</v>
      </c>
    </row>
    <row r="290" spans="1:10" x14ac:dyDescent="0.2">
      <c r="A290" s="1" t="str">
        <f>"21167-HQ-LEL"</f>
        <v>21167-HQ-LEL</v>
      </c>
      <c r="B290" s="5" t="s">
        <v>653</v>
      </c>
      <c r="C290" s="5" t="s">
        <v>15</v>
      </c>
      <c r="D290" s="5" t="s">
        <v>308</v>
      </c>
      <c r="E290" s="5" t="s">
        <v>13</v>
      </c>
      <c r="F290" s="6">
        <v>42520.501388888886</v>
      </c>
      <c r="G290" s="7">
        <v>42548</v>
      </c>
      <c r="H290" s="7">
        <v>44008</v>
      </c>
      <c r="I290" s="5" t="s">
        <v>2252</v>
      </c>
      <c r="J290" s="5" t="str">
        <f>"Copperbelt, Chililabombwe"</f>
        <v>Copperbelt, Chililabombwe</v>
      </c>
    </row>
    <row r="291" spans="1:10" ht="22.5" x14ac:dyDescent="0.2">
      <c r="A291" s="2" t="str">
        <f>"21175-HQ-LEL"</f>
        <v>21175-HQ-LEL</v>
      </c>
      <c r="B291" s="8" t="s">
        <v>654</v>
      </c>
      <c r="C291" s="8" t="s">
        <v>15</v>
      </c>
      <c r="D291" s="8" t="s">
        <v>167</v>
      </c>
      <c r="E291" s="8" t="s">
        <v>72</v>
      </c>
      <c r="F291" s="9">
        <v>42522.499305555553</v>
      </c>
      <c r="G291" s="10">
        <v>42615</v>
      </c>
      <c r="H291" s="10">
        <v>44075</v>
      </c>
      <c r="I291" s="8" t="s">
        <v>2253</v>
      </c>
      <c r="J291" s="8" t="str">
        <f>"Central, Kapiri Mposhi; Copperbelt, Mpongwe; North Western, Kasempa"</f>
        <v>Central, Kapiri Mposhi; Copperbelt, Mpongwe; North Western, Kasempa</v>
      </c>
    </row>
    <row r="292" spans="1:10" x14ac:dyDescent="0.2">
      <c r="A292" s="1" t="str">
        <f>"21176-HQ-AMR"</f>
        <v>21176-HQ-AMR</v>
      </c>
      <c r="B292" s="5" t="s">
        <v>655</v>
      </c>
      <c r="C292" s="5" t="s">
        <v>19</v>
      </c>
      <c r="D292" s="5" t="s">
        <v>28</v>
      </c>
      <c r="E292" s="5" t="s">
        <v>13</v>
      </c>
      <c r="F292" s="6">
        <v>42522.521527777775</v>
      </c>
      <c r="G292" s="7">
        <v>42549</v>
      </c>
      <c r="H292" s="7">
        <v>43278</v>
      </c>
      <c r="I292" s="5" t="s">
        <v>656</v>
      </c>
      <c r="J292" s="5" t="str">
        <f>"Copperbelt, Mufulira"</f>
        <v>Copperbelt, Mufulira</v>
      </c>
    </row>
    <row r="293" spans="1:10" x14ac:dyDescent="0.2">
      <c r="A293" s="2" t="str">
        <f>"21178-HQ-LEL"</f>
        <v>21178-HQ-LEL</v>
      </c>
      <c r="B293" s="8" t="s">
        <v>393</v>
      </c>
      <c r="C293" s="8" t="s">
        <v>15</v>
      </c>
      <c r="D293" s="8" t="s">
        <v>657</v>
      </c>
      <c r="E293" s="8" t="s">
        <v>13</v>
      </c>
      <c r="F293" s="9">
        <v>42523.496527777781</v>
      </c>
      <c r="G293" s="10">
        <v>42600</v>
      </c>
      <c r="H293" s="10">
        <v>44060</v>
      </c>
      <c r="I293" s="8" t="s">
        <v>2254</v>
      </c>
      <c r="J293" s="8" t="str">
        <f>"Central, Chibombo; Lusaka, Chongwe"</f>
        <v>Central, Chibombo; Lusaka, Chongwe</v>
      </c>
    </row>
    <row r="294" spans="1:10" x14ac:dyDescent="0.2">
      <c r="A294" s="1" t="str">
        <f>"21183-HQ-SEL"</f>
        <v>21183-HQ-SEL</v>
      </c>
      <c r="B294" s="5" t="s">
        <v>658</v>
      </c>
      <c r="C294" s="5" t="s">
        <v>34</v>
      </c>
      <c r="D294" s="5" t="s">
        <v>659</v>
      </c>
      <c r="E294" s="5" t="s">
        <v>13</v>
      </c>
      <c r="F294" s="6">
        <v>42527.456944444442</v>
      </c>
      <c r="G294" s="7">
        <v>42671</v>
      </c>
      <c r="H294" s="7">
        <v>44131</v>
      </c>
      <c r="I294" s="5" t="s">
        <v>660</v>
      </c>
      <c r="J294" s="5" t="str">
        <f>"Copperbelt, Chililabombwe"</f>
        <v>Copperbelt, Chililabombwe</v>
      </c>
    </row>
    <row r="295" spans="1:10" x14ac:dyDescent="0.2">
      <c r="A295" s="2" t="str">
        <f>"21184-HQ-AMR"</f>
        <v>21184-HQ-AMR</v>
      </c>
      <c r="B295" s="8" t="s">
        <v>661</v>
      </c>
      <c r="C295" s="8" t="s">
        <v>19</v>
      </c>
      <c r="D295" s="8" t="s">
        <v>662</v>
      </c>
      <c r="E295" s="8" t="s">
        <v>13</v>
      </c>
      <c r="F295" s="9">
        <v>42527.493055555555</v>
      </c>
      <c r="G295" s="10">
        <v>42618</v>
      </c>
      <c r="H295" s="10">
        <v>43347</v>
      </c>
      <c r="I295" s="8" t="s">
        <v>663</v>
      </c>
      <c r="J295" s="8" t="str">
        <f>"Eastern, Chama"</f>
        <v>Eastern, Chama</v>
      </c>
    </row>
    <row r="296" spans="1:10" x14ac:dyDescent="0.2">
      <c r="A296" s="1" t="str">
        <f>"21186-HQ-SEL"</f>
        <v>21186-HQ-SEL</v>
      </c>
      <c r="B296" s="5" t="s">
        <v>664</v>
      </c>
      <c r="C296" s="5" t="s">
        <v>34</v>
      </c>
      <c r="D296" s="5" t="s">
        <v>501</v>
      </c>
      <c r="E296" s="5" t="s">
        <v>13</v>
      </c>
      <c r="F296" s="6">
        <v>42528.479166666664</v>
      </c>
      <c r="G296" s="7">
        <v>42614</v>
      </c>
      <c r="H296" s="7">
        <v>44074</v>
      </c>
      <c r="I296" s="5" t="s">
        <v>2255</v>
      </c>
      <c r="J296" s="5" t="str">
        <f>"Central, Chibombo, Mumbwa"</f>
        <v>Central, Chibombo, Mumbwa</v>
      </c>
    </row>
    <row r="297" spans="1:10" x14ac:dyDescent="0.2">
      <c r="A297" s="2" t="str">
        <f>"21190-HQ-LEL"</f>
        <v>21190-HQ-LEL</v>
      </c>
      <c r="B297" s="8" t="s">
        <v>665</v>
      </c>
      <c r="C297" s="8" t="s">
        <v>15</v>
      </c>
      <c r="D297" s="8" t="s">
        <v>666</v>
      </c>
      <c r="E297" s="8" t="s">
        <v>13</v>
      </c>
      <c r="F297" s="9">
        <v>42531.381944444445</v>
      </c>
      <c r="G297" s="10">
        <v>42671</v>
      </c>
      <c r="H297" s="10">
        <v>44131</v>
      </c>
      <c r="I297" s="8" t="s">
        <v>667</v>
      </c>
      <c r="J297" s="8" t="str">
        <f>"Central, Kapiri Mposhi; Copperbelt, Mpongwe"</f>
        <v>Central, Kapiri Mposhi; Copperbelt, Mpongwe</v>
      </c>
    </row>
    <row r="298" spans="1:10" ht="22.5" x14ac:dyDescent="0.2">
      <c r="A298" s="1" t="str">
        <f>"21191-HQ-LEL"</f>
        <v>21191-HQ-LEL</v>
      </c>
      <c r="B298" s="5" t="s">
        <v>130</v>
      </c>
      <c r="C298" s="5" t="s">
        <v>15</v>
      </c>
      <c r="D298" s="5" t="s">
        <v>668</v>
      </c>
      <c r="E298" s="5" t="s">
        <v>13</v>
      </c>
      <c r="F298" s="6">
        <v>42531.39166666667</v>
      </c>
      <c r="G298" s="7">
        <v>42559</v>
      </c>
      <c r="H298" s="7">
        <v>44019</v>
      </c>
      <c r="I298" s="5" t="s">
        <v>669</v>
      </c>
      <c r="J298" s="5" t="str">
        <f>"North Western, Mwinilunga"</f>
        <v>North Western, Mwinilunga</v>
      </c>
    </row>
    <row r="299" spans="1:10" x14ac:dyDescent="0.2">
      <c r="A299" s="2" t="str">
        <f>"21192-HQ-AMR"</f>
        <v>21192-HQ-AMR</v>
      </c>
      <c r="B299" s="8" t="s">
        <v>670</v>
      </c>
      <c r="C299" s="8" t="s">
        <v>19</v>
      </c>
      <c r="D299" s="8" t="s">
        <v>74</v>
      </c>
      <c r="E299" s="8" t="s">
        <v>13</v>
      </c>
      <c r="F299" s="9">
        <v>42531.43472222222</v>
      </c>
      <c r="G299" s="10">
        <v>42552</v>
      </c>
      <c r="H299" s="10">
        <v>43281</v>
      </c>
      <c r="I299" s="8" t="s">
        <v>671</v>
      </c>
      <c r="J299" s="8" t="str">
        <f>"Central, Chibombo"</f>
        <v>Central, Chibombo</v>
      </c>
    </row>
    <row r="300" spans="1:10" x14ac:dyDescent="0.2">
      <c r="A300" s="1" t="str">
        <f>"21193-HQ-AMR"</f>
        <v>21193-HQ-AMR</v>
      </c>
      <c r="B300" s="5" t="s">
        <v>672</v>
      </c>
      <c r="C300" s="5" t="s">
        <v>19</v>
      </c>
      <c r="D300" s="5" t="s">
        <v>74</v>
      </c>
      <c r="E300" s="5" t="s">
        <v>13</v>
      </c>
      <c r="F300" s="6">
        <v>42531.440972222219</v>
      </c>
      <c r="G300" s="7">
        <v>42552</v>
      </c>
      <c r="H300" s="7">
        <v>43281</v>
      </c>
      <c r="I300" s="5" t="s">
        <v>673</v>
      </c>
      <c r="J300" s="5" t="str">
        <f>"Central, Chibombo"</f>
        <v>Central, Chibombo</v>
      </c>
    </row>
    <row r="301" spans="1:10" x14ac:dyDescent="0.2">
      <c r="A301" s="2" t="str">
        <f>"21194-HQ-LEL"</f>
        <v>21194-HQ-LEL</v>
      </c>
      <c r="B301" s="8" t="s">
        <v>674</v>
      </c>
      <c r="C301" s="8" t="s">
        <v>15</v>
      </c>
      <c r="D301" s="8" t="s">
        <v>675</v>
      </c>
      <c r="E301" s="8" t="s">
        <v>13</v>
      </c>
      <c r="F301" s="9">
        <v>42531.503472222219</v>
      </c>
      <c r="G301" s="10">
        <v>42573</v>
      </c>
      <c r="H301" s="10">
        <v>44033</v>
      </c>
      <c r="I301" s="8" t="s">
        <v>676</v>
      </c>
      <c r="J301" s="8" t="str">
        <f>"North Western, Mwinilunga"</f>
        <v>North Western, Mwinilunga</v>
      </c>
    </row>
    <row r="302" spans="1:10" x14ac:dyDescent="0.2">
      <c r="A302" s="1" t="str">
        <f>"21195-HQ-LEL"</f>
        <v>21195-HQ-LEL</v>
      </c>
      <c r="B302" s="5" t="s">
        <v>677</v>
      </c>
      <c r="C302" s="5" t="s">
        <v>15</v>
      </c>
      <c r="D302" s="5" t="s">
        <v>678</v>
      </c>
      <c r="E302" s="5" t="s">
        <v>13</v>
      </c>
      <c r="F302" s="6">
        <v>42531.521527777775</v>
      </c>
      <c r="G302" s="7">
        <v>42594</v>
      </c>
      <c r="H302" s="7">
        <v>44054</v>
      </c>
      <c r="I302" s="5" t="s">
        <v>679</v>
      </c>
      <c r="J302" s="5" t="str">
        <f>"Eastern, Katete"</f>
        <v>Eastern, Katete</v>
      </c>
    </row>
    <row r="303" spans="1:10" x14ac:dyDescent="0.2">
      <c r="A303" s="2" t="str">
        <f>"21199-HQ-SEL"</f>
        <v>21199-HQ-SEL</v>
      </c>
      <c r="B303" s="8" t="s">
        <v>680</v>
      </c>
      <c r="C303" s="8" t="s">
        <v>34</v>
      </c>
      <c r="D303" s="8" t="s">
        <v>58</v>
      </c>
      <c r="E303" s="8" t="s">
        <v>13</v>
      </c>
      <c r="F303" s="9">
        <v>42535.381944444445</v>
      </c>
      <c r="G303" s="10">
        <v>42551</v>
      </c>
      <c r="H303" s="10">
        <v>44011</v>
      </c>
      <c r="I303" s="8" t="s">
        <v>681</v>
      </c>
      <c r="J303" s="8" t="str">
        <f>"Central, Mkushi"</f>
        <v>Central, Mkushi</v>
      </c>
    </row>
    <row r="304" spans="1:10" x14ac:dyDescent="0.2">
      <c r="A304" s="1" t="str">
        <f>"21203-HQ-AMR"</f>
        <v>21203-HQ-AMR</v>
      </c>
      <c r="B304" s="5" t="s">
        <v>293</v>
      </c>
      <c r="C304" s="5" t="s">
        <v>19</v>
      </c>
      <c r="D304" s="5" t="s">
        <v>102</v>
      </c>
      <c r="E304" s="5" t="s">
        <v>13</v>
      </c>
      <c r="F304" s="6">
        <v>42536.463888888888</v>
      </c>
      <c r="G304" s="7">
        <v>42579</v>
      </c>
      <c r="H304" s="7">
        <v>43308</v>
      </c>
      <c r="I304" s="5" t="s">
        <v>618</v>
      </c>
      <c r="J304" s="5" t="str">
        <f>"Lusaka, Kafue"</f>
        <v>Lusaka, Kafue</v>
      </c>
    </row>
    <row r="305" spans="1:10" x14ac:dyDescent="0.2">
      <c r="A305" s="2" t="str">
        <f>"21205-HQ-SEL"</f>
        <v>21205-HQ-SEL</v>
      </c>
      <c r="B305" s="8" t="s">
        <v>682</v>
      </c>
      <c r="C305" s="8" t="s">
        <v>34</v>
      </c>
      <c r="D305" s="8" t="s">
        <v>102</v>
      </c>
      <c r="E305" s="8" t="s">
        <v>13</v>
      </c>
      <c r="F305" s="9">
        <v>42536.520138888889</v>
      </c>
      <c r="G305" s="10">
        <v>42650</v>
      </c>
      <c r="H305" s="10">
        <v>44110</v>
      </c>
      <c r="I305" s="8" t="s">
        <v>683</v>
      </c>
      <c r="J305" s="8" t="str">
        <f>"Copperbelt, Chingola"</f>
        <v>Copperbelt, Chingola</v>
      </c>
    </row>
    <row r="306" spans="1:10" x14ac:dyDescent="0.2">
      <c r="A306" s="1" t="str">
        <f>"21207-HQ-LEL"</f>
        <v>21207-HQ-LEL</v>
      </c>
      <c r="B306" s="5" t="s">
        <v>684</v>
      </c>
      <c r="C306" s="5" t="s">
        <v>15</v>
      </c>
      <c r="D306" s="5" t="s">
        <v>685</v>
      </c>
      <c r="E306" s="5" t="s">
        <v>13</v>
      </c>
      <c r="F306" s="6">
        <v>42537.398611111108</v>
      </c>
      <c r="G306" s="7">
        <v>42550</v>
      </c>
      <c r="H306" s="7">
        <v>44010</v>
      </c>
      <c r="I306" s="5" t="s">
        <v>686</v>
      </c>
      <c r="J306" s="5" t="str">
        <f>"North Western, Mufumbwe, Solwezi"</f>
        <v>North Western, Mufumbwe, Solwezi</v>
      </c>
    </row>
    <row r="307" spans="1:10" x14ac:dyDescent="0.2">
      <c r="A307" s="2" t="str">
        <f>"21208-HQ-AMR"</f>
        <v>21208-HQ-AMR</v>
      </c>
      <c r="B307" s="8" t="s">
        <v>687</v>
      </c>
      <c r="C307" s="8" t="s">
        <v>19</v>
      </c>
      <c r="D307" s="8" t="s">
        <v>167</v>
      </c>
      <c r="E307" s="8" t="s">
        <v>13</v>
      </c>
      <c r="F307" s="9">
        <v>42537.433333333334</v>
      </c>
      <c r="G307" s="10">
        <v>42591</v>
      </c>
      <c r="H307" s="10">
        <v>43320</v>
      </c>
      <c r="I307" s="8" t="s">
        <v>688</v>
      </c>
      <c r="J307" s="8" t="str">
        <f>"Northern, Mbala"</f>
        <v>Northern, Mbala</v>
      </c>
    </row>
    <row r="308" spans="1:10" x14ac:dyDescent="0.2">
      <c r="A308" s="1" t="str">
        <f>"21221-HQ-AMR"</f>
        <v>21221-HQ-AMR</v>
      </c>
      <c r="B308" s="5" t="s">
        <v>689</v>
      </c>
      <c r="C308" s="5" t="s">
        <v>19</v>
      </c>
      <c r="D308" s="5" t="s">
        <v>690</v>
      </c>
      <c r="E308" s="5" t="s">
        <v>13</v>
      </c>
      <c r="F308" s="6">
        <v>42541.399699074071</v>
      </c>
      <c r="G308" s="7">
        <v>42657</v>
      </c>
      <c r="H308" s="7">
        <v>43386</v>
      </c>
      <c r="I308" s="5" t="s">
        <v>691</v>
      </c>
      <c r="J308" s="5" t="str">
        <f>"Central, Mkushi"</f>
        <v>Central, Mkushi</v>
      </c>
    </row>
    <row r="309" spans="1:10" x14ac:dyDescent="0.2">
      <c r="A309" s="2" t="str">
        <f>"21222-HQ-LEL"</f>
        <v>21222-HQ-LEL</v>
      </c>
      <c r="B309" s="8" t="s">
        <v>692</v>
      </c>
      <c r="C309" s="8" t="s">
        <v>15</v>
      </c>
      <c r="D309" s="8" t="s">
        <v>51</v>
      </c>
      <c r="E309" s="8" t="s">
        <v>13</v>
      </c>
      <c r="F309" s="9">
        <v>42541.510416666664</v>
      </c>
      <c r="G309" s="10">
        <v>42664</v>
      </c>
      <c r="H309" s="10">
        <v>44124</v>
      </c>
      <c r="I309" s="8" t="s">
        <v>693</v>
      </c>
      <c r="J309" s="8" t="str">
        <f>"Eastern, Lundazi"</f>
        <v>Eastern, Lundazi</v>
      </c>
    </row>
    <row r="310" spans="1:10" x14ac:dyDescent="0.2">
      <c r="A310" s="1" t="str">
        <f>"21224-HQ-LEL"</f>
        <v>21224-HQ-LEL</v>
      </c>
      <c r="B310" s="5" t="s">
        <v>694</v>
      </c>
      <c r="C310" s="5" t="s">
        <v>15</v>
      </c>
      <c r="D310" s="5" t="s">
        <v>695</v>
      </c>
      <c r="E310" s="5" t="s">
        <v>13</v>
      </c>
      <c r="F310" s="6">
        <v>42542.513773148145</v>
      </c>
      <c r="G310" s="7">
        <v>42615</v>
      </c>
      <c r="H310" s="7">
        <v>44075</v>
      </c>
      <c r="I310" s="5" t="s">
        <v>696</v>
      </c>
      <c r="J310" s="5" t="str">
        <f>"Central, Serenje"</f>
        <v>Central, Serenje</v>
      </c>
    </row>
    <row r="311" spans="1:10" x14ac:dyDescent="0.2">
      <c r="A311" s="2" t="str">
        <f>"21226-HQ-SEL"</f>
        <v>21226-HQ-SEL</v>
      </c>
      <c r="B311" s="8" t="s">
        <v>697</v>
      </c>
      <c r="C311" s="8" t="s">
        <v>34</v>
      </c>
      <c r="D311" s="8" t="s">
        <v>102</v>
      </c>
      <c r="E311" s="8" t="s">
        <v>13</v>
      </c>
      <c r="F311" s="9">
        <v>42543.364189814813</v>
      </c>
      <c r="G311" s="10">
        <v>42591</v>
      </c>
      <c r="H311" s="10">
        <v>44051</v>
      </c>
      <c r="I311" s="8" t="s">
        <v>698</v>
      </c>
      <c r="J311" s="8" t="str">
        <f>"Central, Mumbwa"</f>
        <v>Central, Mumbwa</v>
      </c>
    </row>
    <row r="312" spans="1:10" x14ac:dyDescent="0.2">
      <c r="A312" s="1" t="str">
        <f>"21227-HQ-SEL"</f>
        <v>21227-HQ-SEL</v>
      </c>
      <c r="B312" s="5" t="s">
        <v>402</v>
      </c>
      <c r="C312" s="5" t="s">
        <v>34</v>
      </c>
      <c r="D312" s="5" t="s">
        <v>699</v>
      </c>
      <c r="E312" s="5" t="s">
        <v>13</v>
      </c>
      <c r="F312" s="6">
        <v>42543.516944444447</v>
      </c>
      <c r="G312" s="7">
        <v>42628</v>
      </c>
      <c r="H312" s="7">
        <v>44088</v>
      </c>
      <c r="I312" s="5" t="s">
        <v>700</v>
      </c>
      <c r="J312" s="5" t="str">
        <f>"Southern, Sinazongwe"</f>
        <v>Southern, Sinazongwe</v>
      </c>
    </row>
    <row r="313" spans="1:10" x14ac:dyDescent="0.2">
      <c r="A313" s="2" t="str">
        <f>"21228-HQ-SEL"</f>
        <v>21228-HQ-SEL</v>
      </c>
      <c r="B313" s="8" t="s">
        <v>402</v>
      </c>
      <c r="C313" s="8" t="s">
        <v>34</v>
      </c>
      <c r="D313" s="8" t="s">
        <v>701</v>
      </c>
      <c r="E313" s="8" t="s">
        <v>13</v>
      </c>
      <c r="F313" s="9">
        <v>42543.518530092595</v>
      </c>
      <c r="G313" s="10">
        <v>42633</v>
      </c>
      <c r="H313" s="10">
        <v>44093</v>
      </c>
      <c r="I313" s="8" t="s">
        <v>702</v>
      </c>
      <c r="J313" s="8" t="str">
        <f>"Lusaka, Kafue"</f>
        <v>Lusaka, Kafue</v>
      </c>
    </row>
    <row r="314" spans="1:10" ht="22.5" x14ac:dyDescent="0.2">
      <c r="A314" s="1" t="str">
        <f>"21230-HQ-LEL"</f>
        <v>21230-HQ-LEL</v>
      </c>
      <c r="B314" s="5" t="s">
        <v>703</v>
      </c>
      <c r="C314" s="5" t="s">
        <v>15</v>
      </c>
      <c r="D314" s="5" t="s">
        <v>704</v>
      </c>
      <c r="E314" s="5" t="s">
        <v>13</v>
      </c>
      <c r="F314" s="6">
        <v>42545.426886574074</v>
      </c>
      <c r="G314" s="7">
        <v>42662</v>
      </c>
      <c r="H314" s="7">
        <v>44122</v>
      </c>
      <c r="I314" s="5" t="s">
        <v>705</v>
      </c>
      <c r="J314" s="5" t="str">
        <f>"Northern, Mungwi"</f>
        <v>Northern, Mungwi</v>
      </c>
    </row>
    <row r="315" spans="1:10" x14ac:dyDescent="0.2">
      <c r="A315" s="2" t="str">
        <f>"21233-HQ-LEL"</f>
        <v>21233-HQ-LEL</v>
      </c>
      <c r="B315" s="8" t="s">
        <v>442</v>
      </c>
      <c r="C315" s="8" t="s">
        <v>15</v>
      </c>
      <c r="D315" s="8" t="s">
        <v>706</v>
      </c>
      <c r="E315" s="8" t="s">
        <v>13</v>
      </c>
      <c r="F315" s="9">
        <v>42548.508993055555</v>
      </c>
      <c r="G315" s="10">
        <v>42598</v>
      </c>
      <c r="H315" s="10">
        <v>44058</v>
      </c>
      <c r="I315" s="8" t="s">
        <v>707</v>
      </c>
      <c r="J315" s="8" t="str">
        <f>"Central, Mkushi"</f>
        <v>Central, Mkushi</v>
      </c>
    </row>
    <row r="316" spans="1:10" x14ac:dyDescent="0.2">
      <c r="A316" s="1" t="str">
        <f>"21234-HQ-LEL"</f>
        <v>21234-HQ-LEL</v>
      </c>
      <c r="B316" s="5" t="s">
        <v>442</v>
      </c>
      <c r="C316" s="5" t="s">
        <v>15</v>
      </c>
      <c r="D316" s="5" t="s">
        <v>94</v>
      </c>
      <c r="E316" s="5" t="s">
        <v>13</v>
      </c>
      <c r="F316" s="6">
        <v>42548.510069444441</v>
      </c>
      <c r="G316" s="7">
        <v>42598</v>
      </c>
      <c r="H316" s="7">
        <v>44058</v>
      </c>
      <c r="I316" s="5" t="s">
        <v>708</v>
      </c>
      <c r="J316" s="5" t="str">
        <f>"Central, Mkushi"</f>
        <v>Central, Mkushi</v>
      </c>
    </row>
    <row r="317" spans="1:10" x14ac:dyDescent="0.2">
      <c r="A317" s="2" t="str">
        <f>"21235-HQ-LEL"</f>
        <v>21235-HQ-LEL</v>
      </c>
      <c r="B317" s="8" t="s">
        <v>709</v>
      </c>
      <c r="C317" s="8" t="s">
        <v>15</v>
      </c>
      <c r="D317" s="8" t="s">
        <v>38</v>
      </c>
      <c r="E317" s="8" t="s">
        <v>13</v>
      </c>
      <c r="F317" s="9">
        <v>42548.512673611112</v>
      </c>
      <c r="G317" s="10">
        <v>42621</v>
      </c>
      <c r="H317" s="10">
        <v>44081</v>
      </c>
      <c r="I317" s="8" t="s">
        <v>710</v>
      </c>
      <c r="J317" s="8" t="str">
        <f>"Southern, Sinazongwe"</f>
        <v>Southern, Sinazongwe</v>
      </c>
    </row>
    <row r="318" spans="1:10" x14ac:dyDescent="0.2">
      <c r="A318" s="1" t="str">
        <f>"21239-HQ-SEL"</f>
        <v>21239-HQ-SEL</v>
      </c>
      <c r="B318" s="5" t="s">
        <v>284</v>
      </c>
      <c r="C318" s="5" t="s">
        <v>34</v>
      </c>
      <c r="D318" s="5" t="s">
        <v>102</v>
      </c>
      <c r="E318" s="5" t="s">
        <v>13</v>
      </c>
      <c r="F318" s="6">
        <v>42550.51458333333</v>
      </c>
      <c r="G318" s="7">
        <v>42579</v>
      </c>
      <c r="H318" s="7">
        <v>44039</v>
      </c>
      <c r="I318" s="5" t="s">
        <v>711</v>
      </c>
      <c r="J318" s="5" t="str">
        <f>"Lusaka, Kafue"</f>
        <v>Lusaka, Kafue</v>
      </c>
    </row>
    <row r="319" spans="1:10" x14ac:dyDescent="0.2">
      <c r="A319" s="2" t="str">
        <f>"21241-HQ-AMR"</f>
        <v>21241-HQ-AMR</v>
      </c>
      <c r="B319" s="8" t="s">
        <v>293</v>
      </c>
      <c r="C319" s="8" t="s">
        <v>19</v>
      </c>
      <c r="D319" s="8" t="s">
        <v>102</v>
      </c>
      <c r="E319" s="8" t="s">
        <v>13</v>
      </c>
      <c r="F319" s="9">
        <v>42552.459722222222</v>
      </c>
      <c r="G319" s="10">
        <v>42610</v>
      </c>
      <c r="H319" s="10">
        <v>43339</v>
      </c>
      <c r="I319" s="8" t="s">
        <v>712</v>
      </c>
      <c r="J319" s="8" t="str">
        <f>"Lusaka, Kafue"</f>
        <v>Lusaka, Kafue</v>
      </c>
    </row>
    <row r="320" spans="1:10" x14ac:dyDescent="0.2">
      <c r="A320" s="1" t="str">
        <f>"21242-HQ-LEL"</f>
        <v>21242-HQ-LEL</v>
      </c>
      <c r="B320" s="5" t="s">
        <v>713</v>
      </c>
      <c r="C320" s="5" t="s">
        <v>15</v>
      </c>
      <c r="D320" s="5" t="s">
        <v>270</v>
      </c>
      <c r="E320" s="5" t="s">
        <v>13</v>
      </c>
      <c r="F320" s="6">
        <v>42566.514085648145</v>
      </c>
      <c r="G320" s="7">
        <v>42646</v>
      </c>
      <c r="H320" s="7">
        <v>44106</v>
      </c>
      <c r="I320" s="5" t="s">
        <v>714</v>
      </c>
      <c r="J320" s="5" t="str">
        <f>"Copperbelt, Lufwanyama"</f>
        <v>Copperbelt, Lufwanyama</v>
      </c>
    </row>
    <row r="321" spans="1:10" x14ac:dyDescent="0.2">
      <c r="A321" s="2" t="str">
        <f>"21243-HQ-LEL"</f>
        <v>21243-HQ-LEL</v>
      </c>
      <c r="B321" s="8" t="s">
        <v>713</v>
      </c>
      <c r="C321" s="8" t="s">
        <v>15</v>
      </c>
      <c r="D321" s="8" t="s">
        <v>270</v>
      </c>
      <c r="E321" s="8" t="s">
        <v>13</v>
      </c>
      <c r="F321" s="9">
        <v>42552.497164351851</v>
      </c>
      <c r="G321" s="10">
        <v>42695</v>
      </c>
      <c r="H321" s="10">
        <v>44155</v>
      </c>
      <c r="I321" s="8" t="s">
        <v>715</v>
      </c>
      <c r="J321" s="8" t="str">
        <f>"North Western, Kasempa, Solwezi"</f>
        <v>North Western, Kasempa, Solwezi</v>
      </c>
    </row>
    <row r="322" spans="1:10" x14ac:dyDescent="0.2">
      <c r="A322" s="1" t="str">
        <f>"21245-HQ-LEL"</f>
        <v>21245-HQ-LEL</v>
      </c>
      <c r="B322" s="5" t="s">
        <v>178</v>
      </c>
      <c r="C322" s="5" t="s">
        <v>15</v>
      </c>
      <c r="D322" s="5" t="s">
        <v>716</v>
      </c>
      <c r="E322" s="5" t="s">
        <v>13</v>
      </c>
      <c r="F322" s="6">
        <v>42552.506539351853</v>
      </c>
      <c r="G322" s="7">
        <v>42600</v>
      </c>
      <c r="H322" s="7">
        <v>44060</v>
      </c>
      <c r="I322" s="5" t="s">
        <v>717</v>
      </c>
      <c r="J322" s="5" t="str">
        <f>"Central, Mkushi; Lusaka, Chongwe"</f>
        <v>Central, Mkushi; Lusaka, Chongwe</v>
      </c>
    </row>
    <row r="323" spans="1:10" x14ac:dyDescent="0.2">
      <c r="A323" s="2" t="str">
        <f>"21246-HQ-SEL"</f>
        <v>21246-HQ-SEL</v>
      </c>
      <c r="B323" s="8" t="s">
        <v>718</v>
      </c>
      <c r="C323" s="8" t="s">
        <v>34</v>
      </c>
      <c r="D323" s="8" t="s">
        <v>575</v>
      </c>
      <c r="E323" s="8" t="s">
        <v>13</v>
      </c>
      <c r="F323" s="9">
        <v>42557.513101851851</v>
      </c>
      <c r="G323" s="10">
        <v>42648</v>
      </c>
      <c r="H323" s="10">
        <v>44108</v>
      </c>
      <c r="I323" s="8" t="s">
        <v>719</v>
      </c>
      <c r="J323" s="8" t="str">
        <f>"Lusaka, Chongwe"</f>
        <v>Lusaka, Chongwe</v>
      </c>
    </row>
    <row r="324" spans="1:10" x14ac:dyDescent="0.2">
      <c r="A324" s="1" t="str">
        <f>"21247-HQ-SEL"</f>
        <v>21247-HQ-SEL</v>
      </c>
      <c r="B324" s="5" t="s">
        <v>718</v>
      </c>
      <c r="C324" s="5" t="s">
        <v>34</v>
      </c>
      <c r="D324" s="5" t="s">
        <v>575</v>
      </c>
      <c r="E324" s="5" t="s">
        <v>13</v>
      </c>
      <c r="F324" s="6">
        <v>42557.514548611114</v>
      </c>
      <c r="G324" s="7">
        <v>42648</v>
      </c>
      <c r="H324" s="7">
        <v>44108</v>
      </c>
      <c r="I324" s="5" t="s">
        <v>720</v>
      </c>
      <c r="J324" s="5" t="str">
        <f>"Lusaka, Chongwe"</f>
        <v>Lusaka, Chongwe</v>
      </c>
    </row>
    <row r="325" spans="1:10" x14ac:dyDescent="0.2">
      <c r="A325" s="2" t="str">
        <f>"21249-HQ-LEL"</f>
        <v>21249-HQ-LEL</v>
      </c>
      <c r="B325" s="8" t="s">
        <v>721</v>
      </c>
      <c r="C325" s="8" t="s">
        <v>15</v>
      </c>
      <c r="D325" s="8" t="s">
        <v>722</v>
      </c>
      <c r="E325" s="8" t="s">
        <v>13</v>
      </c>
      <c r="F325" s="9">
        <v>42559.469108796293</v>
      </c>
      <c r="G325" s="10">
        <v>42682</v>
      </c>
      <c r="H325" s="10">
        <v>44142</v>
      </c>
      <c r="I325" s="8" t="s">
        <v>723</v>
      </c>
      <c r="J325" s="8" t="str">
        <f>"Eastern, Chama"</f>
        <v>Eastern, Chama</v>
      </c>
    </row>
    <row r="326" spans="1:10" x14ac:dyDescent="0.2">
      <c r="A326" s="1" t="str">
        <f>"21258-HQ-LEL"</f>
        <v>21258-HQ-LEL</v>
      </c>
      <c r="B326" s="5" t="s">
        <v>724</v>
      </c>
      <c r="C326" s="5" t="s">
        <v>15</v>
      </c>
      <c r="D326" s="5" t="s">
        <v>102</v>
      </c>
      <c r="E326" s="5" t="s">
        <v>13</v>
      </c>
      <c r="F326" s="6">
        <v>42564.511111111111</v>
      </c>
      <c r="G326" s="7">
        <v>42592</v>
      </c>
      <c r="H326" s="7">
        <v>44052</v>
      </c>
      <c r="I326" s="5" t="s">
        <v>725</v>
      </c>
      <c r="J326" s="5" t="str">
        <f>"North Western, Kasempa, Mufumbwe"</f>
        <v>North Western, Kasempa, Mufumbwe</v>
      </c>
    </row>
    <row r="327" spans="1:10" x14ac:dyDescent="0.2">
      <c r="A327" s="2" t="str">
        <f>"21259-HQ-LEL"</f>
        <v>21259-HQ-LEL</v>
      </c>
      <c r="B327" s="8" t="s">
        <v>724</v>
      </c>
      <c r="C327" s="8" t="s">
        <v>15</v>
      </c>
      <c r="D327" s="8" t="s">
        <v>102</v>
      </c>
      <c r="E327" s="8" t="s">
        <v>13</v>
      </c>
      <c r="F327" s="9">
        <v>42564.513194444444</v>
      </c>
      <c r="G327" s="10">
        <v>42592</v>
      </c>
      <c r="H327" s="10">
        <v>44052</v>
      </c>
      <c r="I327" s="8" t="s">
        <v>726</v>
      </c>
      <c r="J327" s="8" t="str">
        <f>"North Western, Kasempa, Mufumbwe"</f>
        <v>North Western, Kasempa, Mufumbwe</v>
      </c>
    </row>
    <row r="328" spans="1:10" x14ac:dyDescent="0.2">
      <c r="A328" s="1" t="str">
        <f>"21260-HQ-SEL"</f>
        <v>21260-HQ-SEL</v>
      </c>
      <c r="B328" s="5" t="s">
        <v>727</v>
      </c>
      <c r="C328" s="5" t="s">
        <v>34</v>
      </c>
      <c r="D328" s="5" t="s">
        <v>728</v>
      </c>
      <c r="E328" s="5" t="s">
        <v>13</v>
      </c>
      <c r="F328" s="6">
        <v>42565.409791666665</v>
      </c>
      <c r="G328" s="7">
        <v>42681</v>
      </c>
      <c r="H328" s="7">
        <v>44141</v>
      </c>
      <c r="I328" s="5" t="s">
        <v>729</v>
      </c>
      <c r="J328" s="5" t="str">
        <f>"North Western, Mufumbwe"</f>
        <v>North Western, Mufumbwe</v>
      </c>
    </row>
    <row r="329" spans="1:10" x14ac:dyDescent="0.2">
      <c r="A329" s="2" t="str">
        <f>"21261-HQ-SEL"</f>
        <v>21261-HQ-SEL</v>
      </c>
      <c r="B329" s="8" t="s">
        <v>730</v>
      </c>
      <c r="C329" s="8" t="s">
        <v>34</v>
      </c>
      <c r="D329" s="8" t="s">
        <v>731</v>
      </c>
      <c r="E329" s="8" t="s">
        <v>13</v>
      </c>
      <c r="F329" s="9">
        <v>42565.461909722224</v>
      </c>
      <c r="G329" s="10">
        <v>42677</v>
      </c>
      <c r="H329" s="10">
        <v>44137</v>
      </c>
      <c r="I329" s="8" t="s">
        <v>732</v>
      </c>
      <c r="J329" s="8" t="str">
        <f>"Central, Kapiri Mposhi"</f>
        <v>Central, Kapiri Mposhi</v>
      </c>
    </row>
    <row r="330" spans="1:10" x14ac:dyDescent="0.2">
      <c r="A330" s="1" t="str">
        <f>"21265-HQ-LEL"</f>
        <v>21265-HQ-LEL</v>
      </c>
      <c r="B330" s="5" t="s">
        <v>733</v>
      </c>
      <c r="C330" s="5" t="s">
        <v>15</v>
      </c>
      <c r="D330" s="5" t="s">
        <v>60</v>
      </c>
      <c r="E330" s="5" t="s">
        <v>13</v>
      </c>
      <c r="F330" s="6">
        <v>42566.434236111112</v>
      </c>
      <c r="G330" s="7">
        <v>42649</v>
      </c>
      <c r="H330" s="7">
        <v>44109</v>
      </c>
      <c r="I330" s="5" t="s">
        <v>734</v>
      </c>
      <c r="J330" s="5" t="str">
        <f>"Copperbelt, Luanshya"</f>
        <v>Copperbelt, Luanshya</v>
      </c>
    </row>
    <row r="331" spans="1:10" x14ac:dyDescent="0.2">
      <c r="A331" s="2" t="str">
        <f>"21266-HQ-SEL"</f>
        <v>21266-HQ-SEL</v>
      </c>
      <c r="B331" s="8" t="s">
        <v>735</v>
      </c>
      <c r="C331" s="8" t="s">
        <v>34</v>
      </c>
      <c r="D331" s="8" t="s">
        <v>736</v>
      </c>
      <c r="E331" s="8" t="s">
        <v>13</v>
      </c>
      <c r="F331" s="9">
        <v>42566.510798611111</v>
      </c>
      <c r="G331" s="10">
        <v>42625</v>
      </c>
      <c r="H331" s="10">
        <v>44085</v>
      </c>
      <c r="I331" s="8" t="s">
        <v>737</v>
      </c>
      <c r="J331" s="8" t="str">
        <f>"Central, Mkushi; Lusaka, Chongwe"</f>
        <v>Central, Mkushi; Lusaka, Chongwe</v>
      </c>
    </row>
    <row r="332" spans="1:10" x14ac:dyDescent="0.2">
      <c r="A332" s="1" t="str">
        <f>"21268-HQ-LEL"</f>
        <v>21268-HQ-LEL</v>
      </c>
      <c r="B332" s="5" t="s">
        <v>738</v>
      </c>
      <c r="C332" s="5" t="s">
        <v>15</v>
      </c>
      <c r="D332" s="5" t="s">
        <v>167</v>
      </c>
      <c r="E332" s="5" t="s">
        <v>13</v>
      </c>
      <c r="F332" s="6">
        <v>42570.492060185185</v>
      </c>
      <c r="G332" s="7">
        <v>42607</v>
      </c>
      <c r="H332" s="7">
        <v>44067</v>
      </c>
      <c r="I332" s="5" t="s">
        <v>739</v>
      </c>
      <c r="J332" s="5" t="str">
        <f>"North Western, Mwinilunga"</f>
        <v>North Western, Mwinilunga</v>
      </c>
    </row>
    <row r="333" spans="1:10" x14ac:dyDescent="0.2">
      <c r="A333" s="2" t="str">
        <f>"21269-HQ-LEL"</f>
        <v>21269-HQ-LEL</v>
      </c>
      <c r="B333" s="8" t="s">
        <v>740</v>
      </c>
      <c r="C333" s="8" t="s">
        <v>15</v>
      </c>
      <c r="D333" s="8" t="s">
        <v>38</v>
      </c>
      <c r="E333" s="8" t="s">
        <v>13</v>
      </c>
      <c r="F333" s="9">
        <v>42570.514085648145</v>
      </c>
      <c r="G333" s="10">
        <v>42674</v>
      </c>
      <c r="H333" s="10">
        <v>44134</v>
      </c>
      <c r="I333" s="8" t="s">
        <v>741</v>
      </c>
      <c r="J333" s="8" t="str">
        <f>"Southern, Gwembe"</f>
        <v>Southern, Gwembe</v>
      </c>
    </row>
    <row r="334" spans="1:10" x14ac:dyDescent="0.2">
      <c r="A334" s="1" t="str">
        <f>"21276-HQ-SEL"</f>
        <v>21276-HQ-SEL</v>
      </c>
      <c r="B334" s="5" t="s">
        <v>742</v>
      </c>
      <c r="C334" s="5" t="s">
        <v>34</v>
      </c>
      <c r="D334" s="5" t="s">
        <v>487</v>
      </c>
      <c r="E334" s="5" t="s">
        <v>13</v>
      </c>
      <c r="F334" s="6">
        <v>42571.46597222222</v>
      </c>
      <c r="G334" s="7">
        <v>42671</v>
      </c>
      <c r="H334" s="7">
        <v>44131</v>
      </c>
      <c r="I334" s="5" t="s">
        <v>743</v>
      </c>
      <c r="J334" s="5" t="str">
        <f>"Central, Serenje"</f>
        <v>Central, Serenje</v>
      </c>
    </row>
    <row r="335" spans="1:10" x14ac:dyDescent="0.2">
      <c r="A335" s="2" t="str">
        <f>"21277-HQ-LEL"</f>
        <v>21277-HQ-LEL</v>
      </c>
      <c r="B335" s="8" t="s">
        <v>393</v>
      </c>
      <c r="C335" s="8" t="s">
        <v>15</v>
      </c>
      <c r="D335" s="8" t="s">
        <v>744</v>
      </c>
      <c r="E335" s="8" t="s">
        <v>13</v>
      </c>
      <c r="F335" s="9">
        <v>42571.484722222223</v>
      </c>
      <c r="G335" s="10">
        <v>42670</v>
      </c>
      <c r="H335" s="10">
        <v>44130</v>
      </c>
      <c r="I335" s="8" t="s">
        <v>745</v>
      </c>
      <c r="J335" s="8" t="str">
        <f>"Central, Mkushi; Lusaka, Chongwe"</f>
        <v>Central, Mkushi; Lusaka, Chongwe</v>
      </c>
    </row>
    <row r="336" spans="1:10" x14ac:dyDescent="0.2">
      <c r="A336" s="1" t="str">
        <f>"21278-HQ-LEL"</f>
        <v>21278-HQ-LEL</v>
      </c>
      <c r="B336" s="5" t="s">
        <v>746</v>
      </c>
      <c r="C336" s="5" t="s">
        <v>15</v>
      </c>
      <c r="D336" s="5" t="s">
        <v>167</v>
      </c>
      <c r="E336" s="5" t="s">
        <v>13</v>
      </c>
      <c r="F336" s="6">
        <v>42571.519444444442</v>
      </c>
      <c r="G336" s="7">
        <v>42690</v>
      </c>
      <c r="H336" s="7">
        <v>44150</v>
      </c>
      <c r="I336" s="5" t="s">
        <v>747</v>
      </c>
      <c r="J336" s="5" t="str">
        <f>"Eastern, Petauke"</f>
        <v>Eastern, Petauke</v>
      </c>
    </row>
    <row r="337" spans="1:10" x14ac:dyDescent="0.2">
      <c r="A337" s="2" t="str">
        <f>"21279-HQ-MPL"</f>
        <v>21279-HQ-MPL</v>
      </c>
      <c r="B337" s="8" t="s">
        <v>748</v>
      </c>
      <c r="C337" s="8" t="s">
        <v>526</v>
      </c>
      <c r="D337" s="8" t="s">
        <v>541</v>
      </c>
      <c r="E337" s="8" t="s">
        <v>13</v>
      </c>
      <c r="F337" s="9">
        <v>42572.513888888891</v>
      </c>
      <c r="G337" s="10">
        <v>42695</v>
      </c>
      <c r="H337" s="10">
        <v>48172</v>
      </c>
      <c r="I337" s="8" t="s">
        <v>749</v>
      </c>
      <c r="J337" s="8" t="str">
        <f>"Lusaka, Kafue"</f>
        <v>Lusaka, Kafue</v>
      </c>
    </row>
    <row r="338" spans="1:10" x14ac:dyDescent="0.2">
      <c r="A338" s="1" t="str">
        <f>"21280-HQ-SML"</f>
        <v>21280-HQ-SML</v>
      </c>
      <c r="B338" s="5" t="s">
        <v>750</v>
      </c>
      <c r="C338" s="5" t="s">
        <v>11</v>
      </c>
      <c r="D338" s="5" t="s">
        <v>541</v>
      </c>
      <c r="E338" s="5" t="s">
        <v>13</v>
      </c>
      <c r="F338" s="6">
        <v>42573.486111111109</v>
      </c>
      <c r="G338" s="7">
        <v>42702</v>
      </c>
      <c r="H338" s="7">
        <v>46353</v>
      </c>
      <c r="I338" s="5" t="s">
        <v>751</v>
      </c>
      <c r="J338" s="5" t="str">
        <f>"Central, Mumbwa; Lusaka, Kafue"</f>
        <v>Central, Mumbwa; Lusaka, Kafue</v>
      </c>
    </row>
    <row r="339" spans="1:10" x14ac:dyDescent="0.2">
      <c r="A339" s="2" t="str">
        <f>"21283-HQ-SEL"</f>
        <v>21283-HQ-SEL</v>
      </c>
      <c r="B339" s="8" t="s">
        <v>752</v>
      </c>
      <c r="C339" s="8" t="s">
        <v>34</v>
      </c>
      <c r="D339" s="8" t="s">
        <v>38</v>
      </c>
      <c r="E339" s="8" t="s">
        <v>13</v>
      </c>
      <c r="F339" s="9">
        <v>42576.505555555559</v>
      </c>
      <c r="G339" s="10">
        <v>42620</v>
      </c>
      <c r="H339" s="10">
        <v>44080</v>
      </c>
      <c r="I339" s="8" t="s">
        <v>753</v>
      </c>
      <c r="J339" s="8" t="str">
        <f>"Southern, Sinazongwe"</f>
        <v>Southern, Sinazongwe</v>
      </c>
    </row>
    <row r="340" spans="1:10" x14ac:dyDescent="0.2">
      <c r="A340" s="1" t="str">
        <f>"21285-HQ-AMR"</f>
        <v>21285-HQ-AMR</v>
      </c>
      <c r="B340" s="5" t="s">
        <v>754</v>
      </c>
      <c r="C340" s="5" t="s">
        <v>19</v>
      </c>
      <c r="D340" s="5" t="s">
        <v>65</v>
      </c>
      <c r="E340" s="5" t="s">
        <v>13</v>
      </c>
      <c r="F340" s="6">
        <v>42577.385416666664</v>
      </c>
      <c r="G340" s="7">
        <v>42627</v>
      </c>
      <c r="H340" s="7">
        <v>43356</v>
      </c>
      <c r="I340" s="5" t="s">
        <v>755</v>
      </c>
      <c r="J340" s="5" t="str">
        <f>"Eastern, Lundazi"</f>
        <v>Eastern, Lundazi</v>
      </c>
    </row>
    <row r="341" spans="1:10" x14ac:dyDescent="0.2">
      <c r="A341" s="2" t="str">
        <f>"21287-HQ-SEL"</f>
        <v>21287-HQ-SEL</v>
      </c>
      <c r="B341" s="8" t="s">
        <v>756</v>
      </c>
      <c r="C341" s="8" t="s">
        <v>34</v>
      </c>
      <c r="D341" s="8" t="s">
        <v>23</v>
      </c>
      <c r="E341" s="8" t="s">
        <v>13</v>
      </c>
      <c r="F341" s="9">
        <v>42577.477083333331</v>
      </c>
      <c r="G341" s="10">
        <v>42705</v>
      </c>
      <c r="H341" s="10">
        <v>44165</v>
      </c>
      <c r="I341" s="8" t="s">
        <v>757</v>
      </c>
      <c r="J341" s="8" t="str">
        <f>"Eastern, Chama"</f>
        <v>Eastern, Chama</v>
      </c>
    </row>
    <row r="342" spans="1:10" x14ac:dyDescent="0.2">
      <c r="A342" s="1" t="str">
        <f>"21289-HQ-LEL"</f>
        <v>21289-HQ-LEL</v>
      </c>
      <c r="B342" s="5" t="s">
        <v>758</v>
      </c>
      <c r="C342" s="5" t="s">
        <v>15</v>
      </c>
      <c r="D342" s="5" t="s">
        <v>759</v>
      </c>
      <c r="E342" s="5" t="s">
        <v>13</v>
      </c>
      <c r="F342" s="6">
        <v>42578.385416666664</v>
      </c>
      <c r="G342" s="7">
        <v>42627</v>
      </c>
      <c r="H342" s="7">
        <v>44087</v>
      </c>
      <c r="I342" s="5" t="s">
        <v>760</v>
      </c>
      <c r="J342" s="5" t="str">
        <f>"North Western, Kasempa"</f>
        <v>North Western, Kasempa</v>
      </c>
    </row>
    <row r="343" spans="1:10" x14ac:dyDescent="0.2">
      <c r="A343" s="2" t="str">
        <f>"21290-HQ-LEL"</f>
        <v>21290-HQ-LEL</v>
      </c>
      <c r="B343" s="8" t="s">
        <v>761</v>
      </c>
      <c r="C343" s="8" t="s">
        <v>15</v>
      </c>
      <c r="D343" s="8" t="s">
        <v>762</v>
      </c>
      <c r="E343" s="8" t="s">
        <v>13</v>
      </c>
      <c r="F343" s="9">
        <v>42578.444444444445</v>
      </c>
      <c r="G343" s="10">
        <v>42682</v>
      </c>
      <c r="H343" s="10">
        <v>44142</v>
      </c>
      <c r="I343" s="8" t="s">
        <v>763</v>
      </c>
      <c r="J343" s="8" t="str">
        <f>"Eastern, Lundazi"</f>
        <v>Eastern, Lundazi</v>
      </c>
    </row>
    <row r="344" spans="1:10" x14ac:dyDescent="0.2">
      <c r="A344" s="1" t="str">
        <f>"21292-HQ-LEL"</f>
        <v>21292-HQ-LEL</v>
      </c>
      <c r="B344" s="5" t="s">
        <v>764</v>
      </c>
      <c r="C344" s="5" t="s">
        <v>15</v>
      </c>
      <c r="D344" s="5" t="s">
        <v>51</v>
      </c>
      <c r="E344" s="5" t="s">
        <v>13</v>
      </c>
      <c r="F344" s="6">
        <v>42580.418055555558</v>
      </c>
      <c r="G344" s="7">
        <v>42636</v>
      </c>
      <c r="H344" s="7">
        <v>44096</v>
      </c>
      <c r="I344" s="5" t="s">
        <v>765</v>
      </c>
      <c r="J344" s="5" t="str">
        <f>"North Western, Kasempa"</f>
        <v>North Western, Kasempa</v>
      </c>
    </row>
    <row r="345" spans="1:10" x14ac:dyDescent="0.2">
      <c r="A345" s="2" t="str">
        <f>"21293-HQ-LEL"</f>
        <v>21293-HQ-LEL</v>
      </c>
      <c r="B345" s="8" t="s">
        <v>766</v>
      </c>
      <c r="C345" s="8" t="s">
        <v>15</v>
      </c>
      <c r="D345" s="8" t="s">
        <v>51</v>
      </c>
      <c r="E345" s="8" t="s">
        <v>13</v>
      </c>
      <c r="F345" s="9">
        <v>42580.427083333336</v>
      </c>
      <c r="G345" s="10">
        <v>42657</v>
      </c>
      <c r="H345" s="10">
        <v>44117</v>
      </c>
      <c r="I345" s="8" t="s">
        <v>767</v>
      </c>
      <c r="J345" s="8" t="str">
        <f>"North Western, Mwinilunga"</f>
        <v>North Western, Mwinilunga</v>
      </c>
    </row>
    <row r="346" spans="1:10" x14ac:dyDescent="0.2">
      <c r="A346" s="1" t="str">
        <f>"21295-HQ-AMR"</f>
        <v>21295-HQ-AMR</v>
      </c>
      <c r="B346" s="5" t="s">
        <v>768</v>
      </c>
      <c r="C346" s="5" t="s">
        <v>19</v>
      </c>
      <c r="D346" s="5" t="s">
        <v>769</v>
      </c>
      <c r="E346" s="5" t="s">
        <v>13</v>
      </c>
      <c r="F346" s="6">
        <v>42580.515277777777</v>
      </c>
      <c r="G346" s="7">
        <v>42629</v>
      </c>
      <c r="H346" s="7">
        <v>43358</v>
      </c>
      <c r="I346" s="5" t="s">
        <v>770</v>
      </c>
      <c r="J346" s="5" t="str">
        <f>"Northern, Mbala"</f>
        <v>Northern, Mbala</v>
      </c>
    </row>
    <row r="347" spans="1:10" x14ac:dyDescent="0.2">
      <c r="A347" s="2" t="str">
        <f>"21300-HQ-LEL"</f>
        <v>21300-HQ-LEL</v>
      </c>
      <c r="B347" s="8" t="s">
        <v>771</v>
      </c>
      <c r="C347" s="8" t="s">
        <v>15</v>
      </c>
      <c r="D347" s="8" t="s">
        <v>772</v>
      </c>
      <c r="E347" s="8" t="s">
        <v>13</v>
      </c>
      <c r="F347" s="9">
        <v>42585.509027777778</v>
      </c>
      <c r="G347" s="10">
        <v>42635</v>
      </c>
      <c r="H347" s="10">
        <v>44095</v>
      </c>
      <c r="I347" s="8" t="s">
        <v>773</v>
      </c>
      <c r="J347" s="8" t="str">
        <f>"North Western, Mufumbwe"</f>
        <v>North Western, Mufumbwe</v>
      </c>
    </row>
    <row r="348" spans="1:10" x14ac:dyDescent="0.2">
      <c r="A348" s="1" t="str">
        <f>"21301-HQ-LEL"</f>
        <v>21301-HQ-LEL</v>
      </c>
      <c r="B348" s="5" t="s">
        <v>771</v>
      </c>
      <c r="C348" s="5" t="s">
        <v>15</v>
      </c>
      <c r="D348" s="5" t="s">
        <v>772</v>
      </c>
      <c r="E348" s="5" t="s">
        <v>13</v>
      </c>
      <c r="F348" s="6">
        <v>42585.510416666664</v>
      </c>
      <c r="G348" s="7">
        <v>42635</v>
      </c>
      <c r="H348" s="7">
        <v>44095</v>
      </c>
      <c r="I348" s="5" t="s">
        <v>774</v>
      </c>
      <c r="J348" s="5" t="str">
        <f>"Copperbelt, Masaiti, Ndola"</f>
        <v>Copperbelt, Masaiti, Ndola</v>
      </c>
    </row>
    <row r="349" spans="1:10" x14ac:dyDescent="0.2">
      <c r="A349" s="2" t="str">
        <f>"21302-HQ-LEL"</f>
        <v>21302-HQ-LEL</v>
      </c>
      <c r="B349" s="8" t="s">
        <v>771</v>
      </c>
      <c r="C349" s="8" t="s">
        <v>15</v>
      </c>
      <c r="D349" s="8" t="s">
        <v>772</v>
      </c>
      <c r="E349" s="8" t="s">
        <v>13</v>
      </c>
      <c r="F349" s="9">
        <v>42585.512499999997</v>
      </c>
      <c r="G349" s="10">
        <v>42635</v>
      </c>
      <c r="H349" s="10">
        <v>44095</v>
      </c>
      <c r="I349" s="8" t="s">
        <v>775</v>
      </c>
      <c r="J349" s="8" t="str">
        <f>"North Western, Kasempa, Mufumbwe"</f>
        <v>North Western, Kasempa, Mufumbwe</v>
      </c>
    </row>
    <row r="350" spans="1:10" x14ac:dyDescent="0.2">
      <c r="A350" s="1" t="str">
        <f>"21304-HQ-SEL"</f>
        <v>21304-HQ-SEL</v>
      </c>
      <c r="B350" s="5" t="s">
        <v>284</v>
      </c>
      <c r="C350" s="5" t="s">
        <v>34</v>
      </c>
      <c r="D350" s="5" t="s">
        <v>102</v>
      </c>
      <c r="E350" s="5" t="s">
        <v>13</v>
      </c>
      <c r="F350" s="6">
        <v>42586.50277777778</v>
      </c>
      <c r="G350" s="7">
        <v>42627</v>
      </c>
      <c r="H350" s="7">
        <v>44087</v>
      </c>
      <c r="I350" s="5" t="s">
        <v>776</v>
      </c>
      <c r="J350" s="5" t="str">
        <f>"Eastern, Nyimba"</f>
        <v>Eastern, Nyimba</v>
      </c>
    </row>
    <row r="351" spans="1:10" x14ac:dyDescent="0.2">
      <c r="A351" s="2" t="str">
        <f>"21314-HQ-LEL"</f>
        <v>21314-HQ-LEL</v>
      </c>
      <c r="B351" s="8" t="s">
        <v>777</v>
      </c>
      <c r="C351" s="8" t="s">
        <v>15</v>
      </c>
      <c r="D351" s="8" t="s">
        <v>58</v>
      </c>
      <c r="E351" s="8" t="s">
        <v>13</v>
      </c>
      <c r="F351" s="9">
        <v>42591.517361111109</v>
      </c>
      <c r="G351" s="10">
        <v>42625</v>
      </c>
      <c r="H351" s="10">
        <v>44085</v>
      </c>
      <c r="I351" s="8" t="s">
        <v>778</v>
      </c>
      <c r="J351" s="8" t="str">
        <f>"Lusaka, Chongwe, Luangwa"</f>
        <v>Lusaka, Chongwe, Luangwa</v>
      </c>
    </row>
    <row r="352" spans="1:10" x14ac:dyDescent="0.2">
      <c r="A352" s="1" t="str">
        <f>"21315-HQ-SEL"</f>
        <v>21315-HQ-SEL</v>
      </c>
      <c r="B352" s="5" t="s">
        <v>777</v>
      </c>
      <c r="C352" s="5" t="s">
        <v>34</v>
      </c>
      <c r="D352" s="5" t="s">
        <v>58</v>
      </c>
      <c r="E352" s="5" t="s">
        <v>13</v>
      </c>
      <c r="F352" s="6">
        <v>42591.519444444442</v>
      </c>
      <c r="G352" s="7">
        <v>42625</v>
      </c>
      <c r="H352" s="7">
        <v>44085</v>
      </c>
      <c r="I352" s="5" t="s">
        <v>779</v>
      </c>
      <c r="J352" s="5" t="str">
        <f>"Lusaka, Chongwe"</f>
        <v>Lusaka, Chongwe</v>
      </c>
    </row>
    <row r="353" spans="1:10" x14ac:dyDescent="0.2">
      <c r="A353" s="2" t="str">
        <f>"21316-HQ-LEL"</f>
        <v>21316-HQ-LEL</v>
      </c>
      <c r="B353" s="8" t="s">
        <v>780</v>
      </c>
      <c r="C353" s="8" t="s">
        <v>15</v>
      </c>
      <c r="D353" s="8" t="s">
        <v>781</v>
      </c>
      <c r="E353" s="8" t="s">
        <v>13</v>
      </c>
      <c r="F353" s="9">
        <v>42592.388888888891</v>
      </c>
      <c r="G353" s="10">
        <v>42678</v>
      </c>
      <c r="H353" s="10">
        <v>44138</v>
      </c>
      <c r="I353" s="8" t="s">
        <v>782</v>
      </c>
      <c r="J353" s="8" t="str">
        <f>"Luapula, Milenge, Samfya"</f>
        <v>Luapula, Milenge, Samfya</v>
      </c>
    </row>
    <row r="354" spans="1:10" x14ac:dyDescent="0.2">
      <c r="A354" s="1" t="str">
        <f>"21317-HQ-LEL"</f>
        <v>21317-HQ-LEL</v>
      </c>
      <c r="B354" s="5" t="s">
        <v>780</v>
      </c>
      <c r="C354" s="5" t="s">
        <v>15</v>
      </c>
      <c r="D354" s="5" t="s">
        <v>783</v>
      </c>
      <c r="E354" s="5" t="s">
        <v>13</v>
      </c>
      <c r="F354" s="6">
        <v>42592.390972222223</v>
      </c>
      <c r="G354" s="7">
        <v>42649</v>
      </c>
      <c r="H354" s="7">
        <v>44109</v>
      </c>
      <c r="I354" s="5" t="s">
        <v>784</v>
      </c>
      <c r="J354" s="5" t="str">
        <f>"Luapula, Mansa"</f>
        <v>Luapula, Mansa</v>
      </c>
    </row>
    <row r="355" spans="1:10" x14ac:dyDescent="0.2">
      <c r="A355" s="2" t="str">
        <f>"21322-HQ-LEL"</f>
        <v>21322-HQ-LEL</v>
      </c>
      <c r="B355" s="8" t="s">
        <v>633</v>
      </c>
      <c r="C355" s="8" t="s">
        <v>15</v>
      </c>
      <c r="D355" s="8" t="s">
        <v>785</v>
      </c>
      <c r="E355" s="8" t="s">
        <v>13</v>
      </c>
      <c r="F355" s="9">
        <v>42599.413888888892</v>
      </c>
      <c r="G355" s="10">
        <v>42655</v>
      </c>
      <c r="H355" s="10">
        <v>44115</v>
      </c>
      <c r="I355" s="8" t="s">
        <v>786</v>
      </c>
      <c r="J355" s="8" t="str">
        <f>"Northern, Mpika"</f>
        <v>Northern, Mpika</v>
      </c>
    </row>
    <row r="356" spans="1:10" x14ac:dyDescent="0.2">
      <c r="A356" s="1" t="str">
        <f>"21323-HQ-LEL"</f>
        <v>21323-HQ-LEL</v>
      </c>
      <c r="B356" s="5" t="s">
        <v>221</v>
      </c>
      <c r="C356" s="5" t="s">
        <v>15</v>
      </c>
      <c r="D356" s="5" t="s">
        <v>144</v>
      </c>
      <c r="E356" s="5" t="s">
        <v>13</v>
      </c>
      <c r="F356" s="6">
        <v>42600.502083333333</v>
      </c>
      <c r="G356" s="7">
        <v>42622</v>
      </c>
      <c r="H356" s="7">
        <v>44082</v>
      </c>
      <c r="I356" s="5" t="s">
        <v>787</v>
      </c>
      <c r="J356" s="5" t="str">
        <f>"Southern, Sinazongwe"</f>
        <v>Southern, Sinazongwe</v>
      </c>
    </row>
    <row r="357" spans="1:10" x14ac:dyDescent="0.2">
      <c r="A357" s="2" t="str">
        <f>"21324-HQ-LEL"</f>
        <v>21324-HQ-LEL</v>
      </c>
      <c r="B357" s="8" t="s">
        <v>221</v>
      </c>
      <c r="C357" s="8" t="s">
        <v>15</v>
      </c>
      <c r="D357" s="8" t="s">
        <v>144</v>
      </c>
      <c r="E357" s="8" t="s">
        <v>13</v>
      </c>
      <c r="F357" s="9">
        <v>42600.504166666666</v>
      </c>
      <c r="G357" s="10">
        <v>42622</v>
      </c>
      <c r="H357" s="10">
        <v>44082</v>
      </c>
      <c r="I357" s="8" t="s">
        <v>788</v>
      </c>
      <c r="J357" s="8" t="str">
        <f>"Southern, Sinazongwe"</f>
        <v>Southern, Sinazongwe</v>
      </c>
    </row>
    <row r="358" spans="1:10" x14ac:dyDescent="0.2">
      <c r="A358" s="1" t="str">
        <f>"21325-HQ-LEL"</f>
        <v>21325-HQ-LEL</v>
      </c>
      <c r="B358" s="5" t="s">
        <v>221</v>
      </c>
      <c r="C358" s="5" t="s">
        <v>15</v>
      </c>
      <c r="D358" s="5" t="s">
        <v>144</v>
      </c>
      <c r="E358" s="5" t="s">
        <v>13</v>
      </c>
      <c r="F358" s="6">
        <v>42600.506249999999</v>
      </c>
      <c r="G358" s="7">
        <v>42622</v>
      </c>
      <c r="H358" s="7">
        <v>44082</v>
      </c>
      <c r="I358" s="5" t="s">
        <v>789</v>
      </c>
      <c r="J358" s="5" t="str">
        <f>"Southern, Sinazongwe"</f>
        <v>Southern, Sinazongwe</v>
      </c>
    </row>
    <row r="359" spans="1:10" x14ac:dyDescent="0.2">
      <c r="A359" s="2" t="str">
        <f>"21326-HQ-SEL"</f>
        <v>21326-HQ-SEL</v>
      </c>
      <c r="B359" s="8" t="s">
        <v>790</v>
      </c>
      <c r="C359" s="8" t="s">
        <v>34</v>
      </c>
      <c r="D359" s="8" t="s">
        <v>102</v>
      </c>
      <c r="E359" s="8" t="s">
        <v>13</v>
      </c>
      <c r="F359" s="9">
        <v>42601.429166666669</v>
      </c>
      <c r="G359" s="10">
        <v>42671</v>
      </c>
      <c r="H359" s="10">
        <v>44131</v>
      </c>
      <c r="I359" s="8" t="s">
        <v>791</v>
      </c>
      <c r="J359" s="8" t="str">
        <f>"North Western, Mufumbwe"</f>
        <v>North Western, Mufumbwe</v>
      </c>
    </row>
    <row r="360" spans="1:10" x14ac:dyDescent="0.2">
      <c r="A360" s="1" t="str">
        <f>"21327-HQ-SEL"</f>
        <v>21327-HQ-SEL</v>
      </c>
      <c r="B360" s="5" t="s">
        <v>792</v>
      </c>
      <c r="C360" s="5" t="s">
        <v>34</v>
      </c>
      <c r="D360" s="5" t="s">
        <v>58</v>
      </c>
      <c r="E360" s="5" t="s">
        <v>13</v>
      </c>
      <c r="F360" s="6">
        <v>42601.475694444445</v>
      </c>
      <c r="G360" s="7">
        <v>42649</v>
      </c>
      <c r="H360" s="7">
        <v>44109</v>
      </c>
      <c r="I360" s="5" t="s">
        <v>793</v>
      </c>
      <c r="J360" s="5" t="str">
        <f>"North Western, Mwinilunga"</f>
        <v>North Western, Mwinilunga</v>
      </c>
    </row>
    <row r="361" spans="1:10" x14ac:dyDescent="0.2">
      <c r="A361" s="2" t="str">
        <f>"21328-HQ-SEL"</f>
        <v>21328-HQ-SEL</v>
      </c>
      <c r="B361" s="8" t="s">
        <v>792</v>
      </c>
      <c r="C361" s="8" t="s">
        <v>34</v>
      </c>
      <c r="D361" s="8" t="s">
        <v>58</v>
      </c>
      <c r="E361" s="8" t="s">
        <v>13</v>
      </c>
      <c r="F361" s="9">
        <v>42601.477777777778</v>
      </c>
      <c r="G361" s="10">
        <v>42649</v>
      </c>
      <c r="H361" s="10">
        <v>44109</v>
      </c>
      <c r="I361" s="8" t="s">
        <v>794</v>
      </c>
      <c r="J361" s="8" t="str">
        <f>"North Western, Mwinilunga"</f>
        <v>North Western, Mwinilunga</v>
      </c>
    </row>
    <row r="362" spans="1:10" x14ac:dyDescent="0.2">
      <c r="A362" s="1" t="str">
        <f>"21329-HQ-SEL"</f>
        <v>21329-HQ-SEL</v>
      </c>
      <c r="B362" s="5" t="s">
        <v>795</v>
      </c>
      <c r="C362" s="5" t="s">
        <v>34</v>
      </c>
      <c r="D362" s="5" t="s">
        <v>796</v>
      </c>
      <c r="E362" s="5" t="s">
        <v>13</v>
      </c>
      <c r="F362" s="6">
        <v>42604.519444444442</v>
      </c>
      <c r="G362" s="7">
        <v>42633</v>
      </c>
      <c r="H362" s="7">
        <v>44093</v>
      </c>
      <c r="I362" s="5" t="s">
        <v>797</v>
      </c>
      <c r="J362" s="5" t="str">
        <f>"Eastern, Lundazi"</f>
        <v>Eastern, Lundazi</v>
      </c>
    </row>
    <row r="363" spans="1:10" x14ac:dyDescent="0.2">
      <c r="A363" s="2" t="str">
        <f>"21330-HQ-LEL"</f>
        <v>21330-HQ-LEL</v>
      </c>
      <c r="B363" s="8" t="s">
        <v>577</v>
      </c>
      <c r="C363" s="8" t="s">
        <v>15</v>
      </c>
      <c r="D363" s="8" t="s">
        <v>798</v>
      </c>
      <c r="E363" s="8" t="s">
        <v>13</v>
      </c>
      <c r="F363" s="9">
        <v>42606.395833333336</v>
      </c>
      <c r="G363" s="10">
        <v>42622</v>
      </c>
      <c r="H363" s="10">
        <v>44082</v>
      </c>
      <c r="I363" s="8" t="s">
        <v>799</v>
      </c>
      <c r="J363" s="8" t="str">
        <f>"North Western, Solwezi"</f>
        <v>North Western, Solwezi</v>
      </c>
    </row>
    <row r="364" spans="1:10" x14ac:dyDescent="0.2">
      <c r="A364" s="1" t="str">
        <f>"21332-HQ-SEL"</f>
        <v>21332-HQ-SEL</v>
      </c>
      <c r="B364" s="5" t="s">
        <v>492</v>
      </c>
      <c r="C364" s="5" t="s">
        <v>34</v>
      </c>
      <c r="D364" s="5" t="s">
        <v>167</v>
      </c>
      <c r="E364" s="5" t="s">
        <v>13</v>
      </c>
      <c r="F364" s="6">
        <v>42607.517361111109</v>
      </c>
      <c r="G364" s="7">
        <v>42625</v>
      </c>
      <c r="H364" s="7">
        <v>44085</v>
      </c>
      <c r="I364" s="5" t="s">
        <v>800</v>
      </c>
      <c r="J364" s="5" t="str">
        <f>"Central, Mkushi"</f>
        <v>Central, Mkushi</v>
      </c>
    </row>
    <row r="365" spans="1:10" x14ac:dyDescent="0.2">
      <c r="A365" s="2" t="str">
        <f>"21335-HQ-LEL"</f>
        <v>21335-HQ-LEL</v>
      </c>
      <c r="B365" s="8" t="s">
        <v>801</v>
      </c>
      <c r="C365" s="8" t="s">
        <v>15</v>
      </c>
      <c r="D365" s="8" t="s">
        <v>802</v>
      </c>
      <c r="E365" s="8" t="s">
        <v>13</v>
      </c>
      <c r="F365" s="9">
        <v>42608.470833333333</v>
      </c>
      <c r="G365" s="10">
        <v>42650</v>
      </c>
      <c r="H365" s="10">
        <v>44110</v>
      </c>
      <c r="I365" s="8" t="s">
        <v>803</v>
      </c>
      <c r="J365" s="8" t="str">
        <f>"Eastern, Nyimba"</f>
        <v>Eastern, Nyimba</v>
      </c>
    </row>
    <row r="366" spans="1:10" x14ac:dyDescent="0.2">
      <c r="A366" s="1" t="str">
        <f>"21336-HQ-SEL"</f>
        <v>21336-HQ-SEL</v>
      </c>
      <c r="B366" s="5" t="s">
        <v>804</v>
      </c>
      <c r="C366" s="5" t="s">
        <v>34</v>
      </c>
      <c r="D366" s="5" t="s">
        <v>28</v>
      </c>
      <c r="E366" s="5" t="s">
        <v>13</v>
      </c>
      <c r="F366" s="6">
        <v>42608.477777777778</v>
      </c>
      <c r="G366" s="7">
        <v>42625</v>
      </c>
      <c r="H366" s="7">
        <v>44085</v>
      </c>
      <c r="I366" s="5" t="s">
        <v>805</v>
      </c>
      <c r="J366" s="5" t="str">
        <f>"Copperbelt, Kalulushi, Kitwe"</f>
        <v>Copperbelt, Kalulushi, Kitwe</v>
      </c>
    </row>
    <row r="367" spans="1:10" x14ac:dyDescent="0.2">
      <c r="A367" s="2" t="str">
        <f>"21337-HQ-SEL"</f>
        <v>21337-HQ-SEL</v>
      </c>
      <c r="B367" s="8" t="s">
        <v>284</v>
      </c>
      <c r="C367" s="8" t="s">
        <v>34</v>
      </c>
      <c r="D367" s="8" t="s">
        <v>102</v>
      </c>
      <c r="E367" s="8" t="s">
        <v>13</v>
      </c>
      <c r="F367" s="9">
        <v>42611.508333333331</v>
      </c>
      <c r="G367" s="10">
        <v>42648</v>
      </c>
      <c r="H367" s="10">
        <v>44108</v>
      </c>
      <c r="I367" s="8" t="s">
        <v>806</v>
      </c>
      <c r="J367" s="8" t="str">
        <f>"Lusaka, Kafue"</f>
        <v>Lusaka, Kafue</v>
      </c>
    </row>
    <row r="368" spans="1:10" x14ac:dyDescent="0.2">
      <c r="A368" s="1" t="str">
        <f>"21338-HQ-SEL"</f>
        <v>21338-HQ-SEL</v>
      </c>
      <c r="B368" s="5" t="s">
        <v>44</v>
      </c>
      <c r="C368" s="5" t="s">
        <v>34</v>
      </c>
      <c r="D368" s="5" t="s">
        <v>102</v>
      </c>
      <c r="E368" s="5" t="s">
        <v>13</v>
      </c>
      <c r="F368" s="6">
        <v>42612.402777777781</v>
      </c>
      <c r="G368" s="7">
        <v>42634</v>
      </c>
      <c r="H368" s="7">
        <v>44094</v>
      </c>
      <c r="I368" s="5" t="s">
        <v>807</v>
      </c>
      <c r="J368" s="5" t="str">
        <f>"Lusaka, Kafue"</f>
        <v>Lusaka, Kafue</v>
      </c>
    </row>
    <row r="369" spans="1:10" x14ac:dyDescent="0.2">
      <c r="A369" s="2" t="str">
        <f>"21339-HQ-AMR"</f>
        <v>21339-HQ-AMR</v>
      </c>
      <c r="B369" s="8" t="s">
        <v>808</v>
      </c>
      <c r="C369" s="8" t="s">
        <v>19</v>
      </c>
      <c r="D369" s="8" t="s">
        <v>515</v>
      </c>
      <c r="E369" s="8" t="s">
        <v>13</v>
      </c>
      <c r="F369" s="9">
        <v>42613.479166666664</v>
      </c>
      <c r="G369" s="10">
        <v>42629</v>
      </c>
      <c r="H369" s="10">
        <v>43358</v>
      </c>
      <c r="I369" s="8" t="s">
        <v>809</v>
      </c>
      <c r="J369" s="8" t="str">
        <f>"Central, Mkushi"</f>
        <v>Central, Mkushi</v>
      </c>
    </row>
    <row r="370" spans="1:10" x14ac:dyDescent="0.2">
      <c r="A370" s="1" t="str">
        <f>"21340-HQ-AMR"</f>
        <v>21340-HQ-AMR</v>
      </c>
      <c r="B370" s="5" t="s">
        <v>810</v>
      </c>
      <c r="C370" s="5" t="s">
        <v>19</v>
      </c>
      <c r="D370" s="5" t="s">
        <v>515</v>
      </c>
      <c r="E370" s="5" t="s">
        <v>13</v>
      </c>
      <c r="F370" s="6">
        <v>42613.48333333333</v>
      </c>
      <c r="G370" s="7">
        <v>42629</v>
      </c>
      <c r="H370" s="7">
        <v>43358</v>
      </c>
      <c r="I370" s="5" t="s">
        <v>811</v>
      </c>
      <c r="J370" s="5" t="str">
        <f>"Central, Mkushi"</f>
        <v>Central, Mkushi</v>
      </c>
    </row>
    <row r="371" spans="1:10" x14ac:dyDescent="0.2">
      <c r="A371" s="2" t="str">
        <f>"21344-HQ-SML"</f>
        <v>21344-HQ-SML</v>
      </c>
      <c r="B371" s="8" t="s">
        <v>812</v>
      </c>
      <c r="C371" s="8" t="s">
        <v>11</v>
      </c>
      <c r="D371" s="8" t="s">
        <v>813</v>
      </c>
      <c r="E371" s="8" t="s">
        <v>13</v>
      </c>
      <c r="F371" s="9">
        <v>42614.415277777778</v>
      </c>
      <c r="G371" s="10">
        <v>42716</v>
      </c>
      <c r="H371" s="10">
        <v>46367</v>
      </c>
      <c r="I371" s="8" t="s">
        <v>2256</v>
      </c>
      <c r="J371" s="8" t="str">
        <f>"North Western, Mwinilunga"</f>
        <v>North Western, Mwinilunga</v>
      </c>
    </row>
    <row r="372" spans="1:10" x14ac:dyDescent="0.2">
      <c r="A372" s="1" t="str">
        <f>"21348-HQ-SEL"</f>
        <v>21348-HQ-SEL</v>
      </c>
      <c r="B372" s="5" t="s">
        <v>284</v>
      </c>
      <c r="C372" s="5" t="s">
        <v>34</v>
      </c>
      <c r="D372" s="5" t="s">
        <v>102</v>
      </c>
      <c r="E372" s="5" t="s">
        <v>13</v>
      </c>
      <c r="F372" s="6">
        <v>42614.486111111109</v>
      </c>
      <c r="G372" s="7">
        <v>42648</v>
      </c>
      <c r="H372" s="7">
        <v>44108</v>
      </c>
      <c r="I372" s="5" t="s">
        <v>814</v>
      </c>
      <c r="J372" s="5" t="str">
        <f>"Eastern, Nyimba"</f>
        <v>Eastern, Nyimba</v>
      </c>
    </row>
    <row r="373" spans="1:10" x14ac:dyDescent="0.2">
      <c r="A373" s="2" t="str">
        <f>"21349-HQ-SEL"</f>
        <v>21349-HQ-SEL</v>
      </c>
      <c r="B373" s="8" t="s">
        <v>585</v>
      </c>
      <c r="C373" s="8" t="s">
        <v>34</v>
      </c>
      <c r="D373" s="8" t="s">
        <v>350</v>
      </c>
      <c r="E373" s="8" t="s">
        <v>13</v>
      </c>
      <c r="F373" s="9">
        <v>42614.513888888891</v>
      </c>
      <c r="G373" s="10">
        <v>42655</v>
      </c>
      <c r="H373" s="10">
        <v>44115</v>
      </c>
      <c r="I373" s="8" t="s">
        <v>2257</v>
      </c>
      <c r="J373" s="8" t="str">
        <f>"North Western, Solwezi"</f>
        <v>North Western, Solwezi</v>
      </c>
    </row>
    <row r="374" spans="1:10" x14ac:dyDescent="0.2">
      <c r="A374" s="1" t="str">
        <f>"21350-HQ-SEL"</f>
        <v>21350-HQ-SEL</v>
      </c>
      <c r="B374" s="5" t="s">
        <v>585</v>
      </c>
      <c r="C374" s="5" t="s">
        <v>34</v>
      </c>
      <c r="D374" s="5" t="s">
        <v>350</v>
      </c>
      <c r="E374" s="5" t="s">
        <v>13</v>
      </c>
      <c r="F374" s="6">
        <v>42614.515277777777</v>
      </c>
      <c r="G374" s="7">
        <v>42655</v>
      </c>
      <c r="H374" s="7">
        <v>44115</v>
      </c>
      <c r="I374" s="5" t="s">
        <v>2258</v>
      </c>
      <c r="J374" s="5" t="str">
        <f>"North Western, Solwezi"</f>
        <v>North Western, Solwezi</v>
      </c>
    </row>
    <row r="375" spans="1:10" x14ac:dyDescent="0.2">
      <c r="A375" s="2" t="str">
        <f>"21354-HQ-LEL"</f>
        <v>21354-HQ-LEL</v>
      </c>
      <c r="B375" s="8" t="s">
        <v>815</v>
      </c>
      <c r="C375" s="8" t="s">
        <v>15</v>
      </c>
      <c r="D375" s="8" t="s">
        <v>233</v>
      </c>
      <c r="E375" s="8" t="s">
        <v>13</v>
      </c>
      <c r="F375" s="9">
        <v>42619.511111111111</v>
      </c>
      <c r="G375" s="10">
        <v>42674</v>
      </c>
      <c r="H375" s="10">
        <v>44134</v>
      </c>
      <c r="I375" s="8" t="s">
        <v>2259</v>
      </c>
      <c r="J375" s="8" t="str">
        <f>"Central, Chibombo"</f>
        <v>Central, Chibombo</v>
      </c>
    </row>
    <row r="376" spans="1:10" x14ac:dyDescent="0.2">
      <c r="A376" s="1" t="str">
        <f>"21355-HQ-LEL"</f>
        <v>21355-HQ-LEL</v>
      </c>
      <c r="B376" s="5" t="s">
        <v>816</v>
      </c>
      <c r="C376" s="5" t="s">
        <v>15</v>
      </c>
      <c r="D376" s="5" t="s">
        <v>817</v>
      </c>
      <c r="E376" s="5" t="s">
        <v>13</v>
      </c>
      <c r="F376" s="6">
        <v>42620.40625</v>
      </c>
      <c r="G376" s="7">
        <v>42660</v>
      </c>
      <c r="H376" s="7">
        <v>44120</v>
      </c>
      <c r="I376" s="5" t="s">
        <v>2260</v>
      </c>
      <c r="J376" s="5" t="str">
        <f>"Central, Kapiri Mposhi; Copperbelt, Mpongwe"</f>
        <v>Central, Kapiri Mposhi; Copperbelt, Mpongwe</v>
      </c>
    </row>
    <row r="377" spans="1:10" x14ac:dyDescent="0.2">
      <c r="A377" s="2" t="str">
        <f>"21365-HQ-LEL"</f>
        <v>21365-HQ-LEL</v>
      </c>
      <c r="B377" s="8" t="s">
        <v>221</v>
      </c>
      <c r="C377" s="8" t="s">
        <v>15</v>
      </c>
      <c r="D377" s="8" t="s">
        <v>818</v>
      </c>
      <c r="E377" s="8" t="s">
        <v>13</v>
      </c>
      <c r="F377" s="9">
        <v>42622.515277777777</v>
      </c>
      <c r="G377" s="10">
        <v>42653</v>
      </c>
      <c r="H377" s="10">
        <v>44113</v>
      </c>
      <c r="I377" s="8" t="s">
        <v>2261</v>
      </c>
      <c r="J377" s="8" t="str">
        <f>"Southern, Mazabuka"</f>
        <v>Southern, Mazabuka</v>
      </c>
    </row>
    <row r="378" spans="1:10" x14ac:dyDescent="0.2">
      <c r="A378" s="1" t="str">
        <f>"21376-HQ-LEL"</f>
        <v>21376-HQ-LEL</v>
      </c>
      <c r="B378" s="5" t="s">
        <v>819</v>
      </c>
      <c r="C378" s="5" t="s">
        <v>15</v>
      </c>
      <c r="D378" s="5" t="s">
        <v>820</v>
      </c>
      <c r="E378" s="5" t="s">
        <v>13</v>
      </c>
      <c r="F378" s="6">
        <v>42628.475694444445</v>
      </c>
      <c r="G378" s="7">
        <v>42649</v>
      </c>
      <c r="H378" s="7">
        <v>44109</v>
      </c>
      <c r="I378" s="5" t="s">
        <v>2262</v>
      </c>
      <c r="J378" s="5" t="str">
        <f>"Southern, Sinazongwe"</f>
        <v>Southern, Sinazongwe</v>
      </c>
    </row>
    <row r="379" spans="1:10" x14ac:dyDescent="0.2">
      <c r="A379" s="2" t="str">
        <f>"21377-HQ-SEL"</f>
        <v>21377-HQ-SEL</v>
      </c>
      <c r="B379" s="8" t="s">
        <v>821</v>
      </c>
      <c r="C379" s="8" t="s">
        <v>34</v>
      </c>
      <c r="D379" s="8" t="s">
        <v>822</v>
      </c>
      <c r="E379" s="8" t="s">
        <v>13</v>
      </c>
      <c r="F379" s="9">
        <v>42628.484722222223</v>
      </c>
      <c r="G379" s="10">
        <v>42681</v>
      </c>
      <c r="H379" s="10">
        <v>44141</v>
      </c>
      <c r="I379" s="8" t="s">
        <v>823</v>
      </c>
      <c r="J379" s="8" t="str">
        <f>"Central, Mkushi"</f>
        <v>Central, Mkushi</v>
      </c>
    </row>
    <row r="380" spans="1:10" x14ac:dyDescent="0.2">
      <c r="A380" s="1" t="str">
        <f>"21378-HQ-SEL"</f>
        <v>21378-HQ-SEL</v>
      </c>
      <c r="B380" s="5" t="s">
        <v>492</v>
      </c>
      <c r="C380" s="5" t="s">
        <v>34</v>
      </c>
      <c r="D380" s="5" t="s">
        <v>824</v>
      </c>
      <c r="E380" s="5" t="s">
        <v>13</v>
      </c>
      <c r="F380" s="6">
        <v>42628.402777777781</v>
      </c>
      <c r="G380" s="7">
        <v>42688</v>
      </c>
      <c r="H380" s="7">
        <v>44148</v>
      </c>
      <c r="I380" s="5" t="s">
        <v>825</v>
      </c>
      <c r="J380" s="5" t="str">
        <f>"Central, Chibombo"</f>
        <v>Central, Chibombo</v>
      </c>
    </row>
    <row r="381" spans="1:10" x14ac:dyDescent="0.2">
      <c r="A381" s="2" t="str">
        <f>"21380-HQ-SEL"</f>
        <v>21380-HQ-SEL</v>
      </c>
      <c r="B381" s="8" t="s">
        <v>221</v>
      </c>
      <c r="C381" s="8" t="s">
        <v>34</v>
      </c>
      <c r="D381" s="8" t="s">
        <v>826</v>
      </c>
      <c r="E381" s="8" t="s">
        <v>55</v>
      </c>
      <c r="F381" s="9">
        <v>42629.505555555559</v>
      </c>
      <c r="G381" s="10">
        <v>42653</v>
      </c>
      <c r="H381" s="10">
        <v>44113</v>
      </c>
      <c r="I381" s="8" t="s">
        <v>2263</v>
      </c>
      <c r="J381" s="8" t="str">
        <f>"North Western, Solwezi"</f>
        <v>North Western, Solwezi</v>
      </c>
    </row>
    <row r="382" spans="1:10" x14ac:dyDescent="0.2">
      <c r="A382" s="1" t="str">
        <f>"21381-HQ-SEL"</f>
        <v>21381-HQ-SEL</v>
      </c>
      <c r="B382" s="5" t="s">
        <v>221</v>
      </c>
      <c r="C382" s="5" t="s">
        <v>34</v>
      </c>
      <c r="D382" s="5" t="s">
        <v>818</v>
      </c>
      <c r="E382" s="5" t="s">
        <v>55</v>
      </c>
      <c r="F382" s="6">
        <v>42629.506944444445</v>
      </c>
      <c r="G382" s="7">
        <v>42653</v>
      </c>
      <c r="H382" s="7">
        <v>44113</v>
      </c>
      <c r="I382" s="5" t="s">
        <v>827</v>
      </c>
      <c r="J382" s="5" t="str">
        <f>"North Western, Solwezi"</f>
        <v>North Western, Solwezi</v>
      </c>
    </row>
    <row r="383" spans="1:10" x14ac:dyDescent="0.2">
      <c r="A383" s="2" t="str">
        <f>"21389-HQ-LEL"</f>
        <v>21389-HQ-LEL</v>
      </c>
      <c r="B383" s="8" t="s">
        <v>828</v>
      </c>
      <c r="C383" s="8" t="s">
        <v>15</v>
      </c>
      <c r="D383" s="8" t="s">
        <v>829</v>
      </c>
      <c r="E383" s="8" t="s">
        <v>13</v>
      </c>
      <c r="F383" s="9">
        <v>42633.382638888892</v>
      </c>
      <c r="G383" s="10">
        <v>42671</v>
      </c>
      <c r="H383" s="10">
        <v>44131</v>
      </c>
      <c r="I383" s="8" t="s">
        <v>2264</v>
      </c>
      <c r="J383" s="8" t="str">
        <f>"Eastern, Chama"</f>
        <v>Eastern, Chama</v>
      </c>
    </row>
    <row r="384" spans="1:10" x14ac:dyDescent="0.2">
      <c r="A384" s="1" t="str">
        <f>"21394-HQ-AMR"</f>
        <v>21394-HQ-AMR</v>
      </c>
      <c r="B384" s="5" t="s">
        <v>293</v>
      </c>
      <c r="C384" s="5" t="s">
        <v>19</v>
      </c>
      <c r="D384" s="5" t="s">
        <v>102</v>
      </c>
      <c r="E384" s="5" t="s">
        <v>13</v>
      </c>
      <c r="F384" s="6">
        <v>42633.430555555555</v>
      </c>
      <c r="G384" s="7">
        <v>42647</v>
      </c>
      <c r="H384" s="7">
        <v>43376</v>
      </c>
      <c r="I384" s="5" t="s">
        <v>2265</v>
      </c>
      <c r="J384" s="5" t="str">
        <f>"Eastern, Nyimba"</f>
        <v>Eastern, Nyimba</v>
      </c>
    </row>
    <row r="385" spans="1:10" x14ac:dyDescent="0.2">
      <c r="A385" s="2" t="str">
        <f>"21396-HQ-SEL"</f>
        <v>21396-HQ-SEL</v>
      </c>
      <c r="B385" s="8" t="s">
        <v>537</v>
      </c>
      <c r="C385" s="8" t="s">
        <v>34</v>
      </c>
      <c r="D385" s="8" t="s">
        <v>830</v>
      </c>
      <c r="E385" s="8" t="s">
        <v>13</v>
      </c>
      <c r="F385" s="9">
        <v>42634.477777777778</v>
      </c>
      <c r="G385" s="10">
        <v>42684</v>
      </c>
      <c r="H385" s="10">
        <v>44144</v>
      </c>
      <c r="I385" s="8" t="s">
        <v>2266</v>
      </c>
      <c r="J385" s="8" t="str">
        <f>"Central, Serenje"</f>
        <v>Central, Serenje</v>
      </c>
    </row>
    <row r="386" spans="1:10" x14ac:dyDescent="0.2">
      <c r="A386" s="1" t="str">
        <f>"21397-HQ-SEL"</f>
        <v>21397-HQ-SEL</v>
      </c>
      <c r="B386" s="5" t="s">
        <v>537</v>
      </c>
      <c r="C386" s="5" t="s">
        <v>34</v>
      </c>
      <c r="D386" s="5" t="s">
        <v>830</v>
      </c>
      <c r="E386" s="5" t="s">
        <v>13</v>
      </c>
      <c r="F386" s="6">
        <v>42634.478472222225</v>
      </c>
      <c r="G386" s="7">
        <v>42684</v>
      </c>
      <c r="H386" s="7">
        <v>44144</v>
      </c>
      <c r="I386" s="5" t="s">
        <v>2267</v>
      </c>
      <c r="J386" s="5" t="str">
        <f>"Central, Serenje"</f>
        <v>Central, Serenje</v>
      </c>
    </row>
    <row r="387" spans="1:10" x14ac:dyDescent="0.2">
      <c r="A387" s="2" t="str">
        <f>"21402-HQ-LEL"</f>
        <v>21402-HQ-LEL</v>
      </c>
      <c r="B387" s="8" t="s">
        <v>831</v>
      </c>
      <c r="C387" s="8" t="s">
        <v>15</v>
      </c>
      <c r="D387" s="8" t="s">
        <v>832</v>
      </c>
      <c r="E387" s="8" t="s">
        <v>13</v>
      </c>
      <c r="F387" s="9">
        <v>42636.472222222219</v>
      </c>
      <c r="G387" s="10">
        <v>42650</v>
      </c>
      <c r="H387" s="10">
        <v>44110</v>
      </c>
      <c r="I387" s="8" t="s">
        <v>833</v>
      </c>
      <c r="J387" s="8" t="str">
        <f>"Copperbelt, Masaiti"</f>
        <v>Copperbelt, Masaiti</v>
      </c>
    </row>
    <row r="388" spans="1:10" x14ac:dyDescent="0.2">
      <c r="A388" s="1" t="str">
        <f>"21403-HQ-LEL"</f>
        <v>21403-HQ-LEL</v>
      </c>
      <c r="B388" s="5" t="s">
        <v>834</v>
      </c>
      <c r="C388" s="5" t="s">
        <v>15</v>
      </c>
      <c r="D388" s="5" t="s">
        <v>835</v>
      </c>
      <c r="E388" s="5" t="s">
        <v>13</v>
      </c>
      <c r="F388" s="6">
        <v>42636.505555555559</v>
      </c>
      <c r="G388" s="7">
        <v>42696</v>
      </c>
      <c r="H388" s="7">
        <v>44156</v>
      </c>
      <c r="I388" s="5" t="s">
        <v>836</v>
      </c>
      <c r="J388" s="5" t="str">
        <f>"North Western, Kabompo, Mufumbwe; Western, Lukulu"</f>
        <v>North Western, Kabompo, Mufumbwe; Western, Lukulu</v>
      </c>
    </row>
    <row r="389" spans="1:10" x14ac:dyDescent="0.2">
      <c r="A389" s="2" t="str">
        <f>"21405-HQ-LEL"</f>
        <v>21405-HQ-LEL</v>
      </c>
      <c r="B389" s="8" t="s">
        <v>837</v>
      </c>
      <c r="C389" s="8" t="s">
        <v>15</v>
      </c>
      <c r="D389" s="8" t="s">
        <v>838</v>
      </c>
      <c r="E389" s="8" t="s">
        <v>13</v>
      </c>
      <c r="F389" s="9">
        <v>42636.509027777778</v>
      </c>
      <c r="G389" s="10">
        <v>42653</v>
      </c>
      <c r="H389" s="10">
        <v>44113</v>
      </c>
      <c r="I389" s="8" t="s">
        <v>839</v>
      </c>
      <c r="J389" s="8" t="str">
        <f>"North Western, Mwinilunga, Solwezi"</f>
        <v>North Western, Mwinilunga, Solwezi</v>
      </c>
    </row>
    <row r="390" spans="1:10" x14ac:dyDescent="0.2">
      <c r="A390" s="1" t="str">
        <f>"21406-HQ-LEL"</f>
        <v>21406-HQ-LEL</v>
      </c>
      <c r="B390" s="5" t="s">
        <v>837</v>
      </c>
      <c r="C390" s="5" t="s">
        <v>15</v>
      </c>
      <c r="D390" s="5" t="s">
        <v>838</v>
      </c>
      <c r="E390" s="5" t="s">
        <v>13</v>
      </c>
      <c r="F390" s="6">
        <v>42636.510416666664</v>
      </c>
      <c r="G390" s="7">
        <v>42653</v>
      </c>
      <c r="H390" s="7">
        <v>44113</v>
      </c>
      <c r="I390" s="5" t="s">
        <v>840</v>
      </c>
      <c r="J390" s="5" t="str">
        <f>"North Western, Mwinilunga, Solwezi"</f>
        <v>North Western, Mwinilunga, Solwezi</v>
      </c>
    </row>
    <row r="391" spans="1:10" x14ac:dyDescent="0.2">
      <c r="A391" s="2" t="str">
        <f>"21407-HQ-LEL"</f>
        <v>21407-HQ-LEL</v>
      </c>
      <c r="B391" s="8" t="s">
        <v>837</v>
      </c>
      <c r="C391" s="8" t="s">
        <v>15</v>
      </c>
      <c r="D391" s="8" t="s">
        <v>838</v>
      </c>
      <c r="E391" s="8" t="s">
        <v>13</v>
      </c>
      <c r="F391" s="9">
        <v>42636.511805555558</v>
      </c>
      <c r="G391" s="10">
        <v>42653</v>
      </c>
      <c r="H391" s="10">
        <v>44113</v>
      </c>
      <c r="I391" s="8" t="s">
        <v>841</v>
      </c>
      <c r="J391" s="8" t="str">
        <f>"North Western, Solwezi"</f>
        <v>North Western, Solwezi</v>
      </c>
    </row>
    <row r="392" spans="1:10" x14ac:dyDescent="0.2">
      <c r="A392" s="1" t="str">
        <f>"21416-HQ-AMR"</f>
        <v>21416-HQ-AMR</v>
      </c>
      <c r="B392" s="5" t="s">
        <v>842</v>
      </c>
      <c r="C392" s="5" t="s">
        <v>19</v>
      </c>
      <c r="D392" s="5" t="s">
        <v>843</v>
      </c>
      <c r="E392" s="5" t="s">
        <v>13</v>
      </c>
      <c r="F392" s="6">
        <v>42640.51458333333</v>
      </c>
      <c r="G392" s="7">
        <v>42681</v>
      </c>
      <c r="H392" s="7">
        <v>43410</v>
      </c>
      <c r="I392" s="5" t="s">
        <v>844</v>
      </c>
      <c r="J392" s="5" t="str">
        <f>"Southern, Kazungula"</f>
        <v>Southern, Kazungula</v>
      </c>
    </row>
    <row r="393" spans="1:10" ht="22.5" x14ac:dyDescent="0.2">
      <c r="A393" s="2" t="str">
        <f>"21417-HQ-LEL"</f>
        <v>21417-HQ-LEL</v>
      </c>
      <c r="B393" s="8" t="s">
        <v>602</v>
      </c>
      <c r="C393" s="8" t="s">
        <v>15</v>
      </c>
      <c r="D393" s="8" t="s">
        <v>845</v>
      </c>
      <c r="E393" s="8" t="s">
        <v>13</v>
      </c>
      <c r="F393" s="9">
        <v>42641.379861111112</v>
      </c>
      <c r="G393" s="10">
        <v>42716</v>
      </c>
      <c r="H393" s="10">
        <v>44176</v>
      </c>
      <c r="I393" s="8" t="s">
        <v>846</v>
      </c>
      <c r="J393" s="8" t="str">
        <f>"Lusaka, Kafue"</f>
        <v>Lusaka, Kafue</v>
      </c>
    </row>
    <row r="394" spans="1:10" x14ac:dyDescent="0.2">
      <c r="A394" s="1" t="str">
        <f>"21418-HQ-AMR"</f>
        <v>21418-HQ-AMR</v>
      </c>
      <c r="B394" s="5" t="s">
        <v>847</v>
      </c>
      <c r="C394" s="5" t="s">
        <v>19</v>
      </c>
      <c r="D394" s="5" t="s">
        <v>848</v>
      </c>
      <c r="E394" s="5" t="s">
        <v>13</v>
      </c>
      <c r="F394" s="6">
        <v>42641.381944444445</v>
      </c>
      <c r="G394" s="7">
        <v>42702</v>
      </c>
      <c r="H394" s="7">
        <v>43431</v>
      </c>
      <c r="I394" s="5" t="s">
        <v>332</v>
      </c>
      <c r="J394" s="5" t="str">
        <f>"Central, Chibombo"</f>
        <v>Central, Chibombo</v>
      </c>
    </row>
    <row r="395" spans="1:10" x14ac:dyDescent="0.2">
      <c r="A395" s="2" t="str">
        <f>"21419-HQ-AMR"</f>
        <v>21419-HQ-AMR</v>
      </c>
      <c r="B395" s="8" t="s">
        <v>849</v>
      </c>
      <c r="C395" s="8" t="s">
        <v>19</v>
      </c>
      <c r="D395" s="8" t="s">
        <v>850</v>
      </c>
      <c r="E395" s="8" t="s">
        <v>13</v>
      </c>
      <c r="F395" s="9">
        <v>42641.383333333331</v>
      </c>
      <c r="G395" s="10">
        <v>42646</v>
      </c>
      <c r="H395" s="10">
        <v>43375</v>
      </c>
      <c r="I395" s="8" t="s">
        <v>851</v>
      </c>
      <c r="J395" s="8" t="str">
        <f>"Copperbelt, Chingola"</f>
        <v>Copperbelt, Chingola</v>
      </c>
    </row>
    <row r="396" spans="1:10" x14ac:dyDescent="0.2">
      <c r="A396" s="1" t="str">
        <f>"21421-HQ-LEL"</f>
        <v>21421-HQ-LEL</v>
      </c>
      <c r="B396" s="5" t="s">
        <v>852</v>
      </c>
      <c r="C396" s="5" t="s">
        <v>15</v>
      </c>
      <c r="D396" s="5" t="s">
        <v>38</v>
      </c>
      <c r="E396" s="5" t="s">
        <v>13</v>
      </c>
      <c r="F396" s="6">
        <v>42641.394444444442</v>
      </c>
      <c r="G396" s="7">
        <v>42676</v>
      </c>
      <c r="H396" s="7">
        <v>44136</v>
      </c>
      <c r="I396" s="5" t="s">
        <v>853</v>
      </c>
      <c r="J396" s="5" t="str">
        <f>"Southern, Gwembe"</f>
        <v>Southern, Gwembe</v>
      </c>
    </row>
    <row r="397" spans="1:10" x14ac:dyDescent="0.2">
      <c r="A397" s="2" t="str">
        <f>"21422-HQ-LEL"</f>
        <v>21422-HQ-LEL</v>
      </c>
      <c r="B397" s="8" t="s">
        <v>854</v>
      </c>
      <c r="C397" s="8" t="s">
        <v>15</v>
      </c>
      <c r="D397" s="8" t="s">
        <v>507</v>
      </c>
      <c r="E397" s="8" t="s">
        <v>13</v>
      </c>
      <c r="F397" s="9">
        <v>42641.434710648151</v>
      </c>
      <c r="G397" s="10">
        <v>42683</v>
      </c>
      <c r="H397" s="10">
        <v>44143</v>
      </c>
      <c r="I397" s="8" t="s">
        <v>855</v>
      </c>
      <c r="J397" s="8" t="str">
        <f>"Central, Mkushi"</f>
        <v>Central, Mkushi</v>
      </c>
    </row>
    <row r="398" spans="1:10" x14ac:dyDescent="0.2">
      <c r="A398" s="1" t="str">
        <f>"21424-HQ-LEL"</f>
        <v>21424-HQ-LEL</v>
      </c>
      <c r="B398" s="5" t="s">
        <v>854</v>
      </c>
      <c r="C398" s="5" t="s">
        <v>15</v>
      </c>
      <c r="D398" s="5" t="s">
        <v>507</v>
      </c>
      <c r="E398" s="5" t="s">
        <v>13</v>
      </c>
      <c r="F398" s="6">
        <v>42641.436967592592</v>
      </c>
      <c r="G398" s="7">
        <v>42683</v>
      </c>
      <c r="H398" s="7">
        <v>44143</v>
      </c>
      <c r="I398" s="5" t="s">
        <v>856</v>
      </c>
      <c r="J398" s="5" t="str">
        <f>"Central, Mkushi"</f>
        <v>Central, Mkushi</v>
      </c>
    </row>
    <row r="399" spans="1:10" x14ac:dyDescent="0.2">
      <c r="A399" s="2" t="str">
        <f>"21427-HQ-LEL"</f>
        <v>21427-HQ-LEL</v>
      </c>
      <c r="B399" s="8" t="s">
        <v>857</v>
      </c>
      <c r="C399" s="8" t="s">
        <v>15</v>
      </c>
      <c r="D399" s="8" t="s">
        <v>736</v>
      </c>
      <c r="E399" s="8" t="s">
        <v>13</v>
      </c>
      <c r="F399" s="9">
        <v>42641.484652777777</v>
      </c>
      <c r="G399" s="10">
        <v>42682</v>
      </c>
      <c r="H399" s="10">
        <v>44142</v>
      </c>
      <c r="I399" s="8" t="s">
        <v>858</v>
      </c>
      <c r="J399" s="8" t="str">
        <f>"Lusaka, Kafue"</f>
        <v>Lusaka, Kafue</v>
      </c>
    </row>
    <row r="400" spans="1:10" x14ac:dyDescent="0.2">
      <c r="A400" s="1" t="str">
        <f>"21429-HQ-LEL"</f>
        <v>21429-HQ-LEL</v>
      </c>
      <c r="B400" s="5" t="s">
        <v>859</v>
      </c>
      <c r="C400" s="5" t="s">
        <v>15</v>
      </c>
      <c r="D400" s="5" t="s">
        <v>589</v>
      </c>
      <c r="E400" s="5" t="s">
        <v>13</v>
      </c>
      <c r="F400" s="6">
        <v>42642.474305555559</v>
      </c>
      <c r="G400" s="7">
        <v>42712</v>
      </c>
      <c r="H400" s="7">
        <v>44172</v>
      </c>
      <c r="I400" s="5" t="s">
        <v>860</v>
      </c>
      <c r="J400" s="5" t="str">
        <f>"Central, Kapiri Mposhi"</f>
        <v>Central, Kapiri Mposhi</v>
      </c>
    </row>
    <row r="401" spans="1:10" x14ac:dyDescent="0.2">
      <c r="A401" s="2" t="str">
        <f>"21434-HQ-LEL"</f>
        <v>21434-HQ-LEL</v>
      </c>
      <c r="B401" s="8" t="s">
        <v>861</v>
      </c>
      <c r="C401" s="8" t="s">
        <v>15</v>
      </c>
      <c r="D401" s="8" t="s">
        <v>350</v>
      </c>
      <c r="E401" s="8" t="s">
        <v>13</v>
      </c>
      <c r="F401" s="9">
        <v>42646.479363425926</v>
      </c>
      <c r="G401" s="10">
        <v>42681</v>
      </c>
      <c r="H401" s="10">
        <v>44141</v>
      </c>
      <c r="I401" s="8" t="s">
        <v>862</v>
      </c>
      <c r="J401" s="8" t="str">
        <f>"Luapula, Mansa"</f>
        <v>Luapula, Mansa</v>
      </c>
    </row>
    <row r="402" spans="1:10" x14ac:dyDescent="0.2">
      <c r="A402" s="1" t="str">
        <f>"21437-HQ-SEL"</f>
        <v>21437-HQ-SEL</v>
      </c>
      <c r="B402" s="5" t="s">
        <v>863</v>
      </c>
      <c r="C402" s="5" t="s">
        <v>34</v>
      </c>
      <c r="D402" s="5" t="s">
        <v>864</v>
      </c>
      <c r="E402" s="5" t="s">
        <v>13</v>
      </c>
      <c r="F402" s="6">
        <v>42647.482534722221</v>
      </c>
      <c r="G402" s="7">
        <v>42684</v>
      </c>
      <c r="H402" s="7">
        <v>44144</v>
      </c>
      <c r="I402" s="5" t="s">
        <v>865</v>
      </c>
      <c r="J402" s="5" t="str">
        <f>"Central, Kapiri Mposhi"</f>
        <v>Central, Kapiri Mposhi</v>
      </c>
    </row>
    <row r="403" spans="1:10" ht="22.5" x14ac:dyDescent="0.2">
      <c r="A403" s="2" t="str">
        <f>"21438-HQ-AMR"</f>
        <v>21438-HQ-AMR</v>
      </c>
      <c r="B403" s="8" t="s">
        <v>866</v>
      </c>
      <c r="C403" s="8" t="s">
        <v>19</v>
      </c>
      <c r="D403" s="8" t="s">
        <v>867</v>
      </c>
      <c r="E403" s="8" t="s">
        <v>13</v>
      </c>
      <c r="F403" s="9">
        <v>42647.517453703702</v>
      </c>
      <c r="G403" s="10">
        <v>42724</v>
      </c>
      <c r="H403" s="10">
        <v>43453</v>
      </c>
      <c r="I403" s="8" t="s">
        <v>868</v>
      </c>
      <c r="J403" s="8" t="str">
        <f>"Northern, Mpika"</f>
        <v>Northern, Mpika</v>
      </c>
    </row>
    <row r="404" spans="1:10" x14ac:dyDescent="0.2">
      <c r="A404" s="1" t="str">
        <f>"21439-HQ-SEL"</f>
        <v>21439-HQ-SEL</v>
      </c>
      <c r="B404" s="5" t="s">
        <v>869</v>
      </c>
      <c r="C404" s="5" t="s">
        <v>34</v>
      </c>
      <c r="D404" s="5" t="s">
        <v>541</v>
      </c>
      <c r="E404" s="5" t="s">
        <v>13</v>
      </c>
      <c r="F404" s="6">
        <v>42648.483807870369</v>
      </c>
      <c r="G404" s="7">
        <v>42709</v>
      </c>
      <c r="H404" s="7">
        <v>44169</v>
      </c>
      <c r="I404" s="5" t="s">
        <v>870</v>
      </c>
      <c r="J404" s="5" t="str">
        <f>"North Western, Solwezi"</f>
        <v>North Western, Solwezi</v>
      </c>
    </row>
    <row r="405" spans="1:10" x14ac:dyDescent="0.2">
      <c r="A405" s="2" t="str">
        <f>"21442-HQ-LEL"</f>
        <v>21442-HQ-LEL</v>
      </c>
      <c r="B405" s="8" t="s">
        <v>697</v>
      </c>
      <c r="C405" s="8" t="s">
        <v>15</v>
      </c>
      <c r="D405" s="8" t="s">
        <v>871</v>
      </c>
      <c r="E405" s="8" t="s">
        <v>55</v>
      </c>
      <c r="F405" s="9">
        <v>42649.410370370373</v>
      </c>
      <c r="G405" s="10">
        <v>42675</v>
      </c>
      <c r="H405" s="10">
        <v>44135</v>
      </c>
      <c r="I405" s="8" t="s">
        <v>872</v>
      </c>
      <c r="J405" s="8" t="str">
        <f>"Southern, Sinazongwe"</f>
        <v>Southern, Sinazongwe</v>
      </c>
    </row>
    <row r="406" spans="1:10" x14ac:dyDescent="0.2">
      <c r="A406" s="1" t="str">
        <f>"21443-HQ-SEL"</f>
        <v>21443-HQ-SEL</v>
      </c>
      <c r="B406" s="5" t="s">
        <v>873</v>
      </c>
      <c r="C406" s="5" t="s">
        <v>34</v>
      </c>
      <c r="D406" s="5" t="s">
        <v>102</v>
      </c>
      <c r="E406" s="5" t="s">
        <v>13</v>
      </c>
      <c r="F406" s="6">
        <v>42649.413043981483</v>
      </c>
      <c r="G406" s="7">
        <v>42697</v>
      </c>
      <c r="H406" s="7">
        <v>44157</v>
      </c>
      <c r="I406" s="5" t="s">
        <v>874</v>
      </c>
      <c r="J406" s="5" t="str">
        <f>"Copperbelt, Chingola"</f>
        <v>Copperbelt, Chingola</v>
      </c>
    </row>
    <row r="407" spans="1:10" x14ac:dyDescent="0.2">
      <c r="A407" s="2" t="str">
        <f>"21445-HQ-SEL"</f>
        <v>21445-HQ-SEL</v>
      </c>
      <c r="B407" s="8" t="s">
        <v>730</v>
      </c>
      <c r="C407" s="8" t="s">
        <v>34</v>
      </c>
      <c r="D407" s="8" t="s">
        <v>731</v>
      </c>
      <c r="E407" s="8" t="s">
        <v>13</v>
      </c>
      <c r="F407" s="9">
        <v>42649.512627314813</v>
      </c>
      <c r="G407" s="10">
        <v>42697</v>
      </c>
      <c r="H407" s="10">
        <v>44157</v>
      </c>
      <c r="I407" s="8" t="s">
        <v>875</v>
      </c>
      <c r="J407" s="8" t="str">
        <f>"Central, Serenje"</f>
        <v>Central, Serenje</v>
      </c>
    </row>
    <row r="408" spans="1:10" x14ac:dyDescent="0.2">
      <c r="A408" s="1" t="str">
        <f>"21447-HQ-SEL"</f>
        <v>21447-HQ-SEL</v>
      </c>
      <c r="B408" s="5" t="s">
        <v>730</v>
      </c>
      <c r="C408" s="5" t="s">
        <v>34</v>
      </c>
      <c r="D408" s="5" t="s">
        <v>731</v>
      </c>
      <c r="E408" s="5" t="s">
        <v>13</v>
      </c>
      <c r="F408" s="6">
        <v>42649.427256944444</v>
      </c>
      <c r="G408" s="7">
        <v>42697</v>
      </c>
      <c r="H408" s="7">
        <v>44157</v>
      </c>
      <c r="I408" s="5" t="s">
        <v>876</v>
      </c>
      <c r="J408" s="5" t="str">
        <f>"Central, Kapiri Mposhi, Mkushi"</f>
        <v>Central, Kapiri Mposhi, Mkushi</v>
      </c>
    </row>
    <row r="409" spans="1:10" x14ac:dyDescent="0.2">
      <c r="A409" s="2" t="str">
        <f>"21448-HQ-SML"</f>
        <v>21448-HQ-SML</v>
      </c>
      <c r="B409" s="8" t="s">
        <v>877</v>
      </c>
      <c r="C409" s="8" t="s">
        <v>11</v>
      </c>
      <c r="D409" s="8" t="s">
        <v>878</v>
      </c>
      <c r="E409" s="8" t="s">
        <v>13</v>
      </c>
      <c r="F409" s="9">
        <v>42653.505868055552</v>
      </c>
      <c r="G409" s="10">
        <v>42699</v>
      </c>
      <c r="H409" s="10">
        <v>46350</v>
      </c>
      <c r="I409" s="8" t="s">
        <v>879</v>
      </c>
      <c r="J409" s="8" t="str">
        <f>"Central, Chibombo"</f>
        <v>Central, Chibombo</v>
      </c>
    </row>
    <row r="410" spans="1:10" x14ac:dyDescent="0.2">
      <c r="A410" s="1" t="str">
        <f>"21449-HQ-LEL"</f>
        <v>21449-HQ-LEL</v>
      </c>
      <c r="B410" s="5" t="s">
        <v>181</v>
      </c>
      <c r="C410" s="5" t="s">
        <v>15</v>
      </c>
      <c r="D410" s="5" t="s">
        <v>880</v>
      </c>
      <c r="E410" s="5" t="s">
        <v>13</v>
      </c>
      <c r="F410" s="6">
        <v>42654.505624999998</v>
      </c>
      <c r="G410" s="7">
        <v>42709</v>
      </c>
      <c r="H410" s="7">
        <v>44169</v>
      </c>
      <c r="I410" s="5" t="s">
        <v>881</v>
      </c>
      <c r="J410" s="5" t="str">
        <f>"Central, Mkushi"</f>
        <v>Central, Mkushi</v>
      </c>
    </row>
    <row r="411" spans="1:10" x14ac:dyDescent="0.2">
      <c r="A411" s="2" t="str">
        <f>"21451-HQ-LEL"</f>
        <v>21451-HQ-LEL</v>
      </c>
      <c r="B411" s="8" t="s">
        <v>181</v>
      </c>
      <c r="C411" s="8" t="s">
        <v>15</v>
      </c>
      <c r="D411" s="8" t="s">
        <v>880</v>
      </c>
      <c r="E411" s="8" t="s">
        <v>13</v>
      </c>
      <c r="F411" s="9">
        <v>42654.508460648147</v>
      </c>
      <c r="G411" s="10">
        <v>42683</v>
      </c>
      <c r="H411" s="10">
        <v>44143</v>
      </c>
      <c r="I411" s="8" t="s">
        <v>882</v>
      </c>
      <c r="J411" s="8" t="str">
        <f>"Central, Kapiri Mposhi"</f>
        <v>Central, Kapiri Mposhi</v>
      </c>
    </row>
    <row r="412" spans="1:10" x14ac:dyDescent="0.2">
      <c r="A412" s="1" t="str">
        <f>"21452-HQ-AMR"</f>
        <v>21452-HQ-AMR</v>
      </c>
      <c r="B412" s="5" t="s">
        <v>883</v>
      </c>
      <c r="C412" s="5" t="s">
        <v>19</v>
      </c>
      <c r="D412" s="5" t="s">
        <v>884</v>
      </c>
      <c r="E412" s="5" t="s">
        <v>13</v>
      </c>
      <c r="F412" s="6">
        <v>42655.431886574072</v>
      </c>
      <c r="G412" s="7">
        <v>42677</v>
      </c>
      <c r="H412" s="7">
        <v>43406</v>
      </c>
      <c r="I412" s="5" t="s">
        <v>885</v>
      </c>
      <c r="J412" s="5" t="str">
        <f>"North Western, Solwezi"</f>
        <v>North Western, Solwezi</v>
      </c>
    </row>
    <row r="413" spans="1:10" x14ac:dyDescent="0.2">
      <c r="A413" s="2" t="str">
        <f>"21455-HQ-SEL"</f>
        <v>21455-HQ-SEL</v>
      </c>
      <c r="B413" s="8" t="s">
        <v>886</v>
      </c>
      <c r="C413" s="8" t="s">
        <v>34</v>
      </c>
      <c r="D413" s="8" t="s">
        <v>38</v>
      </c>
      <c r="E413" s="8" t="s">
        <v>13</v>
      </c>
      <c r="F413" s="9">
        <v>42656.429328703707</v>
      </c>
      <c r="G413" s="10">
        <v>42681</v>
      </c>
      <c r="H413" s="10">
        <v>44141</v>
      </c>
      <c r="I413" s="8" t="s">
        <v>887</v>
      </c>
      <c r="J413" s="8" t="str">
        <f>"Southern, Gwembe"</f>
        <v>Southern, Gwembe</v>
      </c>
    </row>
    <row r="414" spans="1:10" x14ac:dyDescent="0.2">
      <c r="A414" s="1" t="str">
        <f>"21457-HQ-SEL"</f>
        <v>21457-HQ-SEL</v>
      </c>
      <c r="B414" s="5" t="s">
        <v>888</v>
      </c>
      <c r="C414" s="5" t="s">
        <v>34</v>
      </c>
      <c r="D414" s="5" t="s">
        <v>58</v>
      </c>
      <c r="E414" s="5" t="s">
        <v>72</v>
      </c>
      <c r="F414" s="6">
        <v>42657.378078703703</v>
      </c>
      <c r="G414" s="7">
        <v>42698</v>
      </c>
      <c r="H414" s="7">
        <v>44158</v>
      </c>
      <c r="I414" s="5" t="s">
        <v>889</v>
      </c>
      <c r="J414" s="5" t="str">
        <f>"North Western, Kasempa"</f>
        <v>North Western, Kasempa</v>
      </c>
    </row>
    <row r="415" spans="1:10" x14ac:dyDescent="0.2">
      <c r="A415" s="2" t="str">
        <f>"21458-HQ-SEL"</f>
        <v>21458-HQ-SEL</v>
      </c>
      <c r="B415" s="8" t="s">
        <v>890</v>
      </c>
      <c r="C415" s="8" t="s">
        <v>34</v>
      </c>
      <c r="D415" s="8" t="s">
        <v>167</v>
      </c>
      <c r="E415" s="8" t="s">
        <v>13</v>
      </c>
      <c r="F415" s="9">
        <v>42657.41951388889</v>
      </c>
      <c r="G415" s="10">
        <v>42677</v>
      </c>
      <c r="H415" s="10">
        <v>44137</v>
      </c>
      <c r="I415" s="8" t="s">
        <v>891</v>
      </c>
      <c r="J415" s="8" t="str">
        <f>"Central, Mkushi; Lusaka, Chongwe"</f>
        <v>Central, Mkushi; Lusaka, Chongwe</v>
      </c>
    </row>
    <row r="416" spans="1:10" x14ac:dyDescent="0.2">
      <c r="A416" s="1" t="str">
        <f>"21459-HQ-SEL"</f>
        <v>21459-HQ-SEL</v>
      </c>
      <c r="B416" s="5" t="s">
        <v>890</v>
      </c>
      <c r="C416" s="5" t="s">
        <v>34</v>
      </c>
      <c r="D416" s="5" t="s">
        <v>167</v>
      </c>
      <c r="E416" s="5" t="s">
        <v>13</v>
      </c>
      <c r="F416" s="6">
        <v>42657.422129629631</v>
      </c>
      <c r="G416" s="7">
        <v>42677</v>
      </c>
      <c r="H416" s="7">
        <v>44137</v>
      </c>
      <c r="I416" s="5" t="s">
        <v>892</v>
      </c>
      <c r="J416" s="5" t="str">
        <f>"Central, Mkushi; Lusaka, Chongwe"</f>
        <v>Central, Mkushi; Lusaka, Chongwe</v>
      </c>
    </row>
    <row r="417" spans="1:10" x14ac:dyDescent="0.2">
      <c r="A417" s="2" t="str">
        <f>"21463-HQ-LEL"</f>
        <v>21463-HQ-LEL</v>
      </c>
      <c r="B417" s="8" t="s">
        <v>893</v>
      </c>
      <c r="C417" s="8" t="s">
        <v>15</v>
      </c>
      <c r="D417" s="8" t="s">
        <v>102</v>
      </c>
      <c r="E417" s="8" t="s">
        <v>13</v>
      </c>
      <c r="F417" s="9">
        <v>42657.502083333333</v>
      </c>
      <c r="G417" s="10">
        <v>42695</v>
      </c>
      <c r="H417" s="10">
        <v>44155</v>
      </c>
      <c r="I417" s="8" t="s">
        <v>894</v>
      </c>
      <c r="J417" s="8" t="str">
        <f>"Lusaka, Chongwe, Kafue; Southern, Mazabuka, Siavonga"</f>
        <v>Lusaka, Chongwe, Kafue; Southern, Mazabuka, Siavonga</v>
      </c>
    </row>
    <row r="418" spans="1:10" x14ac:dyDescent="0.2">
      <c r="A418" s="1" t="str">
        <f>"21464-HQ-LEL"</f>
        <v>21464-HQ-LEL</v>
      </c>
      <c r="B418" s="5" t="s">
        <v>893</v>
      </c>
      <c r="C418" s="5" t="s">
        <v>15</v>
      </c>
      <c r="D418" s="5" t="s">
        <v>102</v>
      </c>
      <c r="E418" s="5" t="s">
        <v>13</v>
      </c>
      <c r="F418" s="6">
        <v>42657.504166666666</v>
      </c>
      <c r="G418" s="7">
        <v>42689</v>
      </c>
      <c r="H418" s="7">
        <v>44149</v>
      </c>
      <c r="I418" s="5" t="s">
        <v>895</v>
      </c>
      <c r="J418" s="5" t="str">
        <f>"Central, Chibombo"</f>
        <v>Central, Chibombo</v>
      </c>
    </row>
    <row r="419" spans="1:10" x14ac:dyDescent="0.2">
      <c r="A419" s="2" t="str">
        <f>"21465-HQ-LEL"</f>
        <v>21465-HQ-LEL</v>
      </c>
      <c r="B419" s="8" t="s">
        <v>893</v>
      </c>
      <c r="C419" s="8" t="s">
        <v>15</v>
      </c>
      <c r="D419" s="8" t="s">
        <v>38</v>
      </c>
      <c r="E419" s="8" t="s">
        <v>13</v>
      </c>
      <c r="F419" s="9">
        <v>42657.505555555559</v>
      </c>
      <c r="G419" s="10">
        <v>42689</v>
      </c>
      <c r="H419" s="10">
        <v>44149</v>
      </c>
      <c r="I419" s="8" t="s">
        <v>896</v>
      </c>
      <c r="J419" s="8" t="str">
        <f>"Eastern, Chama; Northern, Isoka"</f>
        <v>Eastern, Chama; Northern, Isoka</v>
      </c>
    </row>
    <row r="420" spans="1:10" x14ac:dyDescent="0.2">
      <c r="A420" s="1" t="str">
        <f>"21466-HQ-SEL"</f>
        <v>21466-HQ-SEL</v>
      </c>
      <c r="B420" s="5" t="s">
        <v>897</v>
      </c>
      <c r="C420" s="5" t="s">
        <v>34</v>
      </c>
      <c r="D420" s="5" t="s">
        <v>68</v>
      </c>
      <c r="E420" s="5" t="s">
        <v>13</v>
      </c>
      <c r="F420" s="6">
        <v>42662.513888888891</v>
      </c>
      <c r="G420" s="7">
        <v>42718</v>
      </c>
      <c r="H420" s="7">
        <v>44178</v>
      </c>
      <c r="I420" s="5" t="s">
        <v>898</v>
      </c>
      <c r="J420" s="5" t="str">
        <f>"Copperbelt, Mufulira"</f>
        <v>Copperbelt, Mufulira</v>
      </c>
    </row>
    <row r="421" spans="1:10" x14ac:dyDescent="0.2">
      <c r="A421" s="2" t="str">
        <f>"21470-HQ-SEL"</f>
        <v>21470-HQ-SEL</v>
      </c>
      <c r="B421" s="8" t="s">
        <v>899</v>
      </c>
      <c r="C421" s="8" t="s">
        <v>34</v>
      </c>
      <c r="D421" s="8" t="s">
        <v>744</v>
      </c>
      <c r="E421" s="8" t="s">
        <v>13</v>
      </c>
      <c r="F421" s="9">
        <v>42663.492361111108</v>
      </c>
      <c r="G421" s="10">
        <v>42699</v>
      </c>
      <c r="H421" s="10">
        <v>44159</v>
      </c>
      <c r="I421" s="8" t="s">
        <v>900</v>
      </c>
      <c r="J421" s="8" t="str">
        <f>"Central, Chibombo"</f>
        <v>Central, Chibombo</v>
      </c>
    </row>
    <row r="422" spans="1:10" x14ac:dyDescent="0.2">
      <c r="A422" s="1" t="str">
        <f>"21471-HQ-SEL"</f>
        <v>21471-HQ-SEL</v>
      </c>
      <c r="B422" s="5" t="s">
        <v>899</v>
      </c>
      <c r="C422" s="5" t="s">
        <v>34</v>
      </c>
      <c r="D422" s="5" t="s">
        <v>744</v>
      </c>
      <c r="E422" s="5" t="s">
        <v>13</v>
      </c>
      <c r="F422" s="6">
        <v>42663.494444444441</v>
      </c>
      <c r="G422" s="7">
        <v>42699</v>
      </c>
      <c r="H422" s="7">
        <v>44159</v>
      </c>
      <c r="I422" s="5" t="s">
        <v>901</v>
      </c>
      <c r="J422" s="5" t="str">
        <f>"Central, Chibombo"</f>
        <v>Central, Chibombo</v>
      </c>
    </row>
    <row r="423" spans="1:10" x14ac:dyDescent="0.2">
      <c r="A423" s="2" t="str">
        <f>"21472-HQ-SEL"</f>
        <v>21472-HQ-SEL</v>
      </c>
      <c r="B423" s="8" t="s">
        <v>899</v>
      </c>
      <c r="C423" s="8" t="s">
        <v>34</v>
      </c>
      <c r="D423" s="8" t="s">
        <v>744</v>
      </c>
      <c r="E423" s="8" t="s">
        <v>13</v>
      </c>
      <c r="F423" s="9">
        <v>42663.495833333334</v>
      </c>
      <c r="G423" s="10">
        <v>42699</v>
      </c>
      <c r="H423" s="10">
        <v>44159</v>
      </c>
      <c r="I423" s="8" t="s">
        <v>902</v>
      </c>
      <c r="J423" s="8" t="str">
        <f>"Central, Chibombo"</f>
        <v>Central, Chibombo</v>
      </c>
    </row>
    <row r="424" spans="1:10" x14ac:dyDescent="0.2">
      <c r="A424" s="1" t="str">
        <f>"21473-HQ-AMR"</f>
        <v>21473-HQ-AMR</v>
      </c>
      <c r="B424" s="5" t="s">
        <v>903</v>
      </c>
      <c r="C424" s="5" t="s">
        <v>19</v>
      </c>
      <c r="D424" s="5" t="s">
        <v>904</v>
      </c>
      <c r="E424" s="5" t="s">
        <v>13</v>
      </c>
      <c r="F424" s="6">
        <v>42664.469444444447</v>
      </c>
      <c r="G424" s="7">
        <v>42731</v>
      </c>
      <c r="H424" s="7">
        <v>43460</v>
      </c>
      <c r="I424" s="5" t="s">
        <v>905</v>
      </c>
      <c r="J424" s="5" t="str">
        <f>"Central, Mkushi"</f>
        <v>Central, Mkushi</v>
      </c>
    </row>
    <row r="425" spans="1:10" x14ac:dyDescent="0.2">
      <c r="A425" s="2" t="str">
        <f>"21474-HQ-SEL"</f>
        <v>21474-HQ-SEL</v>
      </c>
      <c r="B425" s="8" t="s">
        <v>906</v>
      </c>
      <c r="C425" s="8" t="s">
        <v>34</v>
      </c>
      <c r="D425" s="8" t="s">
        <v>51</v>
      </c>
      <c r="E425" s="8" t="s">
        <v>13</v>
      </c>
      <c r="F425" s="9">
        <v>42664.504166666666</v>
      </c>
      <c r="G425" s="10">
        <v>42709</v>
      </c>
      <c r="H425" s="10">
        <v>44169</v>
      </c>
      <c r="I425" s="8" t="s">
        <v>907</v>
      </c>
      <c r="J425" s="8" t="str">
        <f>"North Western, Mwinilunga"</f>
        <v>North Western, Mwinilunga</v>
      </c>
    </row>
    <row r="426" spans="1:10" x14ac:dyDescent="0.2">
      <c r="A426" s="1" t="str">
        <f>"21475-HQ-AMR"</f>
        <v>21475-HQ-AMR</v>
      </c>
      <c r="B426" s="5" t="s">
        <v>908</v>
      </c>
      <c r="C426" s="5" t="s">
        <v>19</v>
      </c>
      <c r="D426" s="5" t="s">
        <v>909</v>
      </c>
      <c r="E426" s="5" t="s">
        <v>13</v>
      </c>
      <c r="F426" s="6">
        <v>42664.505555555559</v>
      </c>
      <c r="G426" s="7">
        <v>42724</v>
      </c>
      <c r="H426" s="7">
        <v>43453</v>
      </c>
      <c r="I426" s="5" t="s">
        <v>910</v>
      </c>
      <c r="J426" s="5" t="str">
        <f>"Northern, Mpika"</f>
        <v>Northern, Mpika</v>
      </c>
    </row>
    <row r="427" spans="1:10" x14ac:dyDescent="0.2">
      <c r="A427" s="2" t="str">
        <f>"21476-HQ-SEL"</f>
        <v>21476-HQ-SEL</v>
      </c>
      <c r="B427" s="8" t="s">
        <v>911</v>
      </c>
      <c r="C427" s="8" t="s">
        <v>34</v>
      </c>
      <c r="D427" s="8" t="s">
        <v>167</v>
      </c>
      <c r="E427" s="8" t="s">
        <v>13</v>
      </c>
      <c r="F427" s="9">
        <v>42668.388194444444</v>
      </c>
      <c r="G427" s="10">
        <v>42675</v>
      </c>
      <c r="H427" s="10">
        <v>44135</v>
      </c>
      <c r="I427" s="8" t="s">
        <v>912</v>
      </c>
      <c r="J427" s="8" t="str">
        <f>"Eastern, Lundazi"</f>
        <v>Eastern, Lundazi</v>
      </c>
    </row>
    <row r="428" spans="1:10" x14ac:dyDescent="0.2">
      <c r="A428" s="1" t="str">
        <f>"21483-HQ-LEL"</f>
        <v>21483-HQ-LEL</v>
      </c>
      <c r="B428" s="5" t="s">
        <v>913</v>
      </c>
      <c r="C428" s="5" t="s">
        <v>15</v>
      </c>
      <c r="D428" s="5" t="s">
        <v>914</v>
      </c>
      <c r="E428" s="5" t="s">
        <v>13</v>
      </c>
      <c r="F428" s="6">
        <v>42669.430555555555</v>
      </c>
      <c r="G428" s="7">
        <v>42698</v>
      </c>
      <c r="H428" s="7">
        <v>44158</v>
      </c>
      <c r="I428" s="5" t="s">
        <v>2268</v>
      </c>
      <c r="J428" s="5" t="str">
        <f>"North Western, Solwezi"</f>
        <v>North Western, Solwezi</v>
      </c>
    </row>
    <row r="429" spans="1:10" x14ac:dyDescent="0.2">
      <c r="A429" s="2" t="str">
        <f>"21489-HQ-LEL"</f>
        <v>21489-HQ-LEL</v>
      </c>
      <c r="B429" s="8" t="s">
        <v>915</v>
      </c>
      <c r="C429" s="8" t="s">
        <v>15</v>
      </c>
      <c r="D429" s="8" t="s">
        <v>102</v>
      </c>
      <c r="E429" s="8" t="s">
        <v>13</v>
      </c>
      <c r="F429" s="9">
        <v>42675.4375</v>
      </c>
      <c r="G429" s="10">
        <v>42718</v>
      </c>
      <c r="H429" s="10">
        <v>44178</v>
      </c>
      <c r="I429" s="8" t="s">
        <v>916</v>
      </c>
      <c r="J429" s="8" t="str">
        <f>"North Western, Solwezi"</f>
        <v>North Western, Solwezi</v>
      </c>
    </row>
    <row r="430" spans="1:10" x14ac:dyDescent="0.2">
      <c r="A430" s="1" t="str">
        <f>"21494-HQ-LEL"</f>
        <v>21494-HQ-LEL</v>
      </c>
      <c r="B430" s="5" t="s">
        <v>761</v>
      </c>
      <c r="C430" s="5" t="s">
        <v>15</v>
      </c>
      <c r="D430" s="5" t="s">
        <v>917</v>
      </c>
      <c r="E430" s="5" t="s">
        <v>13</v>
      </c>
      <c r="F430" s="6">
        <v>42678.500694444447</v>
      </c>
      <c r="G430" s="7">
        <v>42724</v>
      </c>
      <c r="H430" s="7">
        <v>44184</v>
      </c>
      <c r="I430" s="5" t="s">
        <v>918</v>
      </c>
      <c r="J430" s="5" t="str">
        <f>"Central, Mkushi"</f>
        <v>Central, Mkushi</v>
      </c>
    </row>
    <row r="431" spans="1:10" x14ac:dyDescent="0.2">
      <c r="A431" s="2" t="str">
        <f>"21495-HQ-AMR"</f>
        <v>21495-HQ-AMR</v>
      </c>
      <c r="B431" s="8" t="s">
        <v>919</v>
      </c>
      <c r="C431" s="8" t="s">
        <v>19</v>
      </c>
      <c r="D431" s="8" t="s">
        <v>487</v>
      </c>
      <c r="E431" s="8" t="s">
        <v>13</v>
      </c>
      <c r="F431" s="9">
        <v>42682.396527777775</v>
      </c>
      <c r="G431" s="10">
        <v>42696</v>
      </c>
      <c r="H431" s="10">
        <v>43425</v>
      </c>
      <c r="I431" s="8" t="s">
        <v>920</v>
      </c>
      <c r="J431" s="8" t="str">
        <f>"Northern, Mpika"</f>
        <v>Northern, Mpika</v>
      </c>
    </row>
    <row r="432" spans="1:10" x14ac:dyDescent="0.2">
      <c r="A432" s="1" t="str">
        <f>"21499-HQ-LEL"</f>
        <v>21499-HQ-LEL</v>
      </c>
      <c r="B432" s="5" t="s">
        <v>913</v>
      </c>
      <c r="C432" s="5" t="s">
        <v>15</v>
      </c>
      <c r="D432" s="5" t="s">
        <v>921</v>
      </c>
      <c r="E432" s="5" t="s">
        <v>13</v>
      </c>
      <c r="F432" s="6">
        <v>42682.513888888891</v>
      </c>
      <c r="G432" s="7">
        <v>42698</v>
      </c>
      <c r="H432" s="7">
        <v>44158</v>
      </c>
      <c r="I432" s="5" t="s">
        <v>922</v>
      </c>
      <c r="J432" s="5" t="str">
        <f>"Copperbelt, Lufwanyama; North Western, Kasempa, Solwezi"</f>
        <v>Copperbelt, Lufwanyama; North Western, Kasempa, Solwezi</v>
      </c>
    </row>
    <row r="433" spans="1:10" x14ac:dyDescent="0.2">
      <c r="A433" s="2" t="str">
        <f>"21502-HQ-SEL"</f>
        <v>21502-HQ-SEL</v>
      </c>
      <c r="B433" s="8" t="s">
        <v>923</v>
      </c>
      <c r="C433" s="8" t="s">
        <v>34</v>
      </c>
      <c r="D433" s="8" t="s">
        <v>924</v>
      </c>
      <c r="E433" s="8" t="s">
        <v>13</v>
      </c>
      <c r="F433" s="9">
        <v>42684.388888888891</v>
      </c>
      <c r="G433" s="10">
        <v>42727</v>
      </c>
      <c r="H433" s="10">
        <v>44187</v>
      </c>
      <c r="I433" s="8" t="s">
        <v>925</v>
      </c>
      <c r="J433" s="8" t="str">
        <f>"Eastern, Lundazi"</f>
        <v>Eastern, Lundazi</v>
      </c>
    </row>
    <row r="434" spans="1:10" x14ac:dyDescent="0.2">
      <c r="A434" s="1" t="str">
        <f>"21503-HQ-LEL"</f>
        <v>21503-HQ-LEL</v>
      </c>
      <c r="B434" s="5" t="s">
        <v>816</v>
      </c>
      <c r="C434" s="5" t="s">
        <v>15</v>
      </c>
      <c r="D434" s="5" t="s">
        <v>28</v>
      </c>
      <c r="E434" s="5" t="s">
        <v>13</v>
      </c>
      <c r="F434" s="6">
        <v>42684.418055555558</v>
      </c>
      <c r="G434" s="7">
        <v>42727</v>
      </c>
      <c r="H434" s="7">
        <v>44187</v>
      </c>
      <c r="I434" s="5" t="s">
        <v>926</v>
      </c>
      <c r="J434" s="5" t="str">
        <f>"Northern, Kasama, Mungwi"</f>
        <v>Northern, Kasama, Mungwi</v>
      </c>
    </row>
    <row r="435" spans="1:10" x14ac:dyDescent="0.2">
      <c r="A435" s="2" t="str">
        <f>"21504-HQ-LEL"</f>
        <v>21504-HQ-LEL</v>
      </c>
      <c r="B435" s="8" t="s">
        <v>927</v>
      </c>
      <c r="C435" s="8" t="s">
        <v>15</v>
      </c>
      <c r="D435" s="8" t="s">
        <v>928</v>
      </c>
      <c r="E435" s="8" t="s">
        <v>13</v>
      </c>
      <c r="F435" s="9">
        <v>42684.433333333334</v>
      </c>
      <c r="G435" s="10">
        <v>42723</v>
      </c>
      <c r="H435" s="10">
        <v>44183</v>
      </c>
      <c r="I435" s="8" t="s">
        <v>929</v>
      </c>
      <c r="J435" s="8" t="str">
        <f>"North Western, Solwezi"</f>
        <v>North Western, Solwezi</v>
      </c>
    </row>
    <row r="436" spans="1:10" x14ac:dyDescent="0.2">
      <c r="A436" s="1" t="str">
        <f>"21505-HQ-LEL"</f>
        <v>21505-HQ-LEL</v>
      </c>
      <c r="B436" s="5" t="s">
        <v>927</v>
      </c>
      <c r="C436" s="5" t="s">
        <v>15</v>
      </c>
      <c r="D436" s="5" t="s">
        <v>930</v>
      </c>
      <c r="E436" s="5" t="s">
        <v>138</v>
      </c>
      <c r="F436" s="6">
        <v>42684.430555555555</v>
      </c>
      <c r="G436" s="7">
        <v>42723</v>
      </c>
      <c r="H436" s="7">
        <v>44183</v>
      </c>
      <c r="I436" s="5" t="s">
        <v>931</v>
      </c>
      <c r="J436" s="5" t="str">
        <f>"Central, Kapiri Mposhi; North Western, Kasempa"</f>
        <v>Central, Kapiri Mposhi; North Western, Kasempa</v>
      </c>
    </row>
    <row r="437" spans="1:10" x14ac:dyDescent="0.2">
      <c r="A437" s="2" t="str">
        <f>"21513-HQ-AMR"</f>
        <v>21513-HQ-AMR</v>
      </c>
      <c r="B437" s="8" t="s">
        <v>932</v>
      </c>
      <c r="C437" s="8" t="s">
        <v>19</v>
      </c>
      <c r="D437" s="8" t="s">
        <v>933</v>
      </c>
      <c r="E437" s="8" t="s">
        <v>13</v>
      </c>
      <c r="F437" s="9">
        <v>42685.444444444445</v>
      </c>
      <c r="G437" s="10">
        <v>42724</v>
      </c>
      <c r="H437" s="10">
        <v>43453</v>
      </c>
      <c r="I437" s="8" t="s">
        <v>934</v>
      </c>
      <c r="J437" s="8" t="str">
        <f>"Eastern, Chama, Lundazi"</f>
        <v>Eastern, Chama, Lundazi</v>
      </c>
    </row>
    <row r="438" spans="1:10" x14ac:dyDescent="0.2">
      <c r="A438" s="1" t="str">
        <f>"21515-HQ-AMR"</f>
        <v>21515-HQ-AMR</v>
      </c>
      <c r="B438" s="5" t="s">
        <v>935</v>
      </c>
      <c r="C438" s="5" t="s">
        <v>19</v>
      </c>
      <c r="D438" s="5" t="s">
        <v>487</v>
      </c>
      <c r="E438" s="5" t="s">
        <v>13</v>
      </c>
      <c r="F438" s="6">
        <v>42685.51666666667</v>
      </c>
      <c r="G438" s="7">
        <v>42713</v>
      </c>
      <c r="H438" s="7">
        <v>43442</v>
      </c>
      <c r="I438" s="5" t="s">
        <v>809</v>
      </c>
      <c r="J438" s="5" t="str">
        <f>"Central, Serenje"</f>
        <v>Central, Serenje</v>
      </c>
    </row>
    <row r="439" spans="1:10" x14ac:dyDescent="0.2">
      <c r="A439" s="2" t="str">
        <f>"21520-HQ-LEL"</f>
        <v>21520-HQ-LEL</v>
      </c>
      <c r="B439" s="8" t="s">
        <v>936</v>
      </c>
      <c r="C439" s="8" t="s">
        <v>15</v>
      </c>
      <c r="D439" s="8" t="s">
        <v>156</v>
      </c>
      <c r="E439" s="8" t="s">
        <v>13</v>
      </c>
      <c r="F439" s="9">
        <v>42689.430555555555</v>
      </c>
      <c r="G439" s="10">
        <v>42704</v>
      </c>
      <c r="H439" s="10">
        <v>44164</v>
      </c>
      <c r="I439" s="8" t="s">
        <v>2269</v>
      </c>
      <c r="J439" s="8" t="str">
        <f>"Luapula, Mansa; Northern, Luwingu"</f>
        <v>Luapula, Mansa; Northern, Luwingu</v>
      </c>
    </row>
    <row r="440" spans="1:10" x14ac:dyDescent="0.2">
      <c r="A440" s="1" t="str">
        <f>"21521-HQ-SEL"</f>
        <v>21521-HQ-SEL</v>
      </c>
      <c r="B440" s="5" t="s">
        <v>937</v>
      </c>
      <c r="C440" s="5" t="s">
        <v>34</v>
      </c>
      <c r="D440" s="5" t="s">
        <v>575</v>
      </c>
      <c r="E440" s="5" t="s">
        <v>13</v>
      </c>
      <c r="F440" s="6">
        <v>42689.517361111109</v>
      </c>
      <c r="G440" s="7">
        <v>42697</v>
      </c>
      <c r="H440" s="7">
        <v>44157</v>
      </c>
      <c r="I440" s="5" t="s">
        <v>938</v>
      </c>
      <c r="J440" s="5" t="str">
        <f>"Eastern, Lundazi"</f>
        <v>Eastern, Lundazi</v>
      </c>
    </row>
    <row r="441" spans="1:10" x14ac:dyDescent="0.2">
      <c r="A441" s="2" t="str">
        <f>"21522-HQ-SEL"</f>
        <v>21522-HQ-SEL</v>
      </c>
      <c r="B441" s="8" t="s">
        <v>939</v>
      </c>
      <c r="C441" s="8" t="s">
        <v>34</v>
      </c>
      <c r="D441" s="8" t="s">
        <v>781</v>
      </c>
      <c r="E441" s="8" t="s">
        <v>55</v>
      </c>
      <c r="F441" s="9">
        <v>42690.420138888891</v>
      </c>
      <c r="G441" s="10">
        <v>42697</v>
      </c>
      <c r="H441" s="10">
        <v>44157</v>
      </c>
      <c r="I441" s="8" t="s">
        <v>940</v>
      </c>
      <c r="J441" s="8" t="str">
        <f>"Central, Serenje"</f>
        <v>Central, Serenje</v>
      </c>
    </row>
    <row r="442" spans="1:10" x14ac:dyDescent="0.2">
      <c r="A442" s="1" t="str">
        <f>"21536-HQ-SML"</f>
        <v>21536-HQ-SML</v>
      </c>
      <c r="B442" s="5" t="s">
        <v>941</v>
      </c>
      <c r="C442" s="5" t="s">
        <v>11</v>
      </c>
      <c r="D442" s="5" t="s">
        <v>942</v>
      </c>
      <c r="E442" s="5" t="s">
        <v>13</v>
      </c>
      <c r="F442" s="6">
        <v>42698.490277777775</v>
      </c>
      <c r="G442" s="7">
        <v>42725</v>
      </c>
      <c r="H442" s="7">
        <v>46376</v>
      </c>
      <c r="I442" s="5" t="s">
        <v>943</v>
      </c>
      <c r="J442" s="5" t="str">
        <f>"North Western, Solwezi"</f>
        <v>North Western, Solwezi</v>
      </c>
    </row>
    <row r="443" spans="1:10" x14ac:dyDescent="0.2">
      <c r="A443" s="2" t="str">
        <f>"21547-HQ-SEL"</f>
        <v>21547-HQ-SEL</v>
      </c>
      <c r="B443" s="8" t="s">
        <v>944</v>
      </c>
      <c r="C443" s="8" t="s">
        <v>34</v>
      </c>
      <c r="D443" s="8" t="s">
        <v>945</v>
      </c>
      <c r="E443" s="8" t="s">
        <v>13</v>
      </c>
      <c r="F443" s="9">
        <v>42703.515277777777</v>
      </c>
      <c r="G443" s="10">
        <v>42724</v>
      </c>
      <c r="H443" s="10">
        <v>44184</v>
      </c>
      <c r="I443" s="8" t="s">
        <v>946</v>
      </c>
      <c r="J443" s="8" t="str">
        <f>"Eastern, Lundazi"</f>
        <v>Eastern, Lundazi</v>
      </c>
    </row>
    <row r="444" spans="1:10" x14ac:dyDescent="0.2">
      <c r="A444" s="1" t="str">
        <f>"21549-HQ-SEL"</f>
        <v>21549-HQ-SEL</v>
      </c>
      <c r="B444" s="5" t="s">
        <v>944</v>
      </c>
      <c r="C444" s="5" t="s">
        <v>34</v>
      </c>
      <c r="D444" s="5" t="s">
        <v>945</v>
      </c>
      <c r="E444" s="5" t="s">
        <v>13</v>
      </c>
      <c r="F444" s="6">
        <v>42704.399305555555</v>
      </c>
      <c r="G444" s="7">
        <v>42726</v>
      </c>
      <c r="H444" s="7">
        <v>44186</v>
      </c>
      <c r="I444" s="5" t="s">
        <v>947</v>
      </c>
      <c r="J444" s="5" t="str">
        <f>"Eastern, Lundazi"</f>
        <v>Eastern, Lundazi</v>
      </c>
    </row>
    <row r="445" spans="1:10" x14ac:dyDescent="0.2">
      <c r="A445" s="2" t="str">
        <f>"21555-HQ-SEL"</f>
        <v>21555-HQ-SEL</v>
      </c>
      <c r="B445" s="8" t="s">
        <v>948</v>
      </c>
      <c r="C445" s="8" t="s">
        <v>34</v>
      </c>
      <c r="D445" s="8" t="s">
        <v>60</v>
      </c>
      <c r="E445" s="8" t="s">
        <v>13</v>
      </c>
      <c r="F445" s="9">
        <v>42706.408333333333</v>
      </c>
      <c r="G445" s="10">
        <v>42726</v>
      </c>
      <c r="H445" s="10">
        <v>44186</v>
      </c>
      <c r="I445" s="8" t="s">
        <v>2270</v>
      </c>
      <c r="J445" s="8" t="str">
        <f>"Central, Serenje"</f>
        <v>Central, Serenje</v>
      </c>
    </row>
    <row r="446" spans="1:10" x14ac:dyDescent="0.2">
      <c r="A446" s="1" t="str">
        <f>"21557-HQ-AMR"</f>
        <v>21557-HQ-AMR</v>
      </c>
      <c r="B446" s="5" t="s">
        <v>949</v>
      </c>
      <c r="C446" s="5" t="s">
        <v>19</v>
      </c>
      <c r="D446" s="5" t="s">
        <v>950</v>
      </c>
      <c r="E446" s="5" t="s">
        <v>13</v>
      </c>
      <c r="F446" s="6">
        <v>42709.505555555559</v>
      </c>
      <c r="G446" s="7">
        <v>42723</v>
      </c>
      <c r="H446" s="7">
        <v>43452</v>
      </c>
      <c r="I446" s="5" t="s">
        <v>951</v>
      </c>
      <c r="J446" s="5" t="str">
        <f>"North Western, Solwezi"</f>
        <v>North Western, Solwezi</v>
      </c>
    </row>
    <row r="447" spans="1:10" x14ac:dyDescent="0.2">
      <c r="A447" s="2" t="str">
        <f>"21558-HQ-LEL"</f>
        <v>21558-HQ-LEL</v>
      </c>
      <c r="B447" s="8" t="s">
        <v>952</v>
      </c>
      <c r="C447" s="8" t="s">
        <v>15</v>
      </c>
      <c r="D447" s="8" t="s">
        <v>953</v>
      </c>
      <c r="E447" s="8" t="s">
        <v>13</v>
      </c>
      <c r="F447" s="9">
        <v>42709.513194444444</v>
      </c>
      <c r="G447" s="10">
        <v>42726</v>
      </c>
      <c r="H447" s="10">
        <v>44186</v>
      </c>
      <c r="I447" s="8" t="s">
        <v>2271</v>
      </c>
      <c r="J447" s="8" t="str">
        <f>"Central, Chibombo; Lusaka, Chongwe"</f>
        <v>Central, Chibombo; Lusaka, Chongwe</v>
      </c>
    </row>
    <row r="448" spans="1:10" x14ac:dyDescent="0.2">
      <c r="A448" s="1" t="str">
        <f>"21559-HQ-LEL"</f>
        <v>21559-HQ-LEL</v>
      </c>
      <c r="B448" s="5" t="s">
        <v>952</v>
      </c>
      <c r="C448" s="5" t="s">
        <v>15</v>
      </c>
      <c r="D448" s="5" t="s">
        <v>953</v>
      </c>
      <c r="E448" s="5" t="s">
        <v>13</v>
      </c>
      <c r="F448" s="6">
        <v>42709.515972222223</v>
      </c>
      <c r="G448" s="7">
        <v>42726</v>
      </c>
      <c r="H448" s="7">
        <v>44186</v>
      </c>
      <c r="I448" s="5" t="s">
        <v>2272</v>
      </c>
      <c r="J448" s="5" t="str">
        <f>"Southern, Choma, Kalomo, Sinazongwe"</f>
        <v>Southern, Choma, Kalomo, Sinazongwe</v>
      </c>
    </row>
    <row r="449" spans="1:10" x14ac:dyDescent="0.2">
      <c r="A449" s="2" t="str">
        <f>"21561-HQ-LEL"</f>
        <v>21561-HQ-LEL</v>
      </c>
      <c r="B449" s="8" t="s">
        <v>954</v>
      </c>
      <c r="C449" s="8" t="s">
        <v>15</v>
      </c>
      <c r="D449" s="8" t="s">
        <v>58</v>
      </c>
      <c r="E449" s="8" t="s">
        <v>13</v>
      </c>
      <c r="F449" s="9">
        <v>42710.475694444445</v>
      </c>
      <c r="G449" s="10">
        <v>42726</v>
      </c>
      <c r="H449" s="10">
        <v>44186</v>
      </c>
      <c r="I449" s="8" t="s">
        <v>2273</v>
      </c>
      <c r="J449" s="8" t="str">
        <f>"North Western, Mwinilunga, Solwezi"</f>
        <v>North Western, Mwinilunga, Solwezi</v>
      </c>
    </row>
    <row r="450" spans="1:10" x14ac:dyDescent="0.2">
      <c r="A450" s="1" t="str">
        <f>"21565-HQ-LEL"</f>
        <v>21565-HQ-LEL</v>
      </c>
      <c r="B450" s="5" t="s">
        <v>955</v>
      </c>
      <c r="C450" s="5" t="s">
        <v>15</v>
      </c>
      <c r="D450" s="5" t="s">
        <v>589</v>
      </c>
      <c r="E450" s="5" t="s">
        <v>13</v>
      </c>
      <c r="F450" s="6">
        <v>42711.847222222219</v>
      </c>
      <c r="G450" s="7">
        <v>42725</v>
      </c>
      <c r="H450" s="7">
        <v>44185</v>
      </c>
      <c r="I450" s="5" t="s">
        <v>2274</v>
      </c>
      <c r="J450" s="5" t="str">
        <f>"Central, Chibombo, Kapiri Mposhi, Mkushi"</f>
        <v>Central, Chibombo, Kapiri Mposhi, Mkushi</v>
      </c>
    </row>
    <row r="451" spans="1:10" x14ac:dyDescent="0.2">
      <c r="A451" s="2" t="str">
        <f>"21594-HQ-SEL"</f>
        <v>21594-HQ-SEL</v>
      </c>
      <c r="B451" s="8" t="s">
        <v>956</v>
      </c>
      <c r="C451" s="8" t="s">
        <v>34</v>
      </c>
      <c r="D451" s="8" t="s">
        <v>28</v>
      </c>
      <c r="E451" s="8" t="s">
        <v>13</v>
      </c>
      <c r="F451" s="9">
        <v>42719.386111111111</v>
      </c>
      <c r="G451" s="10">
        <v>42733</v>
      </c>
      <c r="H451" s="10">
        <v>44193</v>
      </c>
      <c r="I451" s="8" t="s">
        <v>957</v>
      </c>
      <c r="J451" s="8" t="str">
        <f>"Copperbelt, Mufulira"</f>
        <v>Copperbelt, Mufulira</v>
      </c>
    </row>
    <row r="452" spans="1:10" x14ac:dyDescent="0.2">
      <c r="A452" s="1" t="str">
        <f>"21595-HQ-SEL"</f>
        <v>21595-HQ-SEL</v>
      </c>
      <c r="B452" s="5" t="s">
        <v>956</v>
      </c>
      <c r="C452" s="5" t="s">
        <v>34</v>
      </c>
      <c r="D452" s="5" t="s">
        <v>884</v>
      </c>
      <c r="E452" s="5" t="s">
        <v>138</v>
      </c>
      <c r="F452" s="6">
        <v>42719.386805555558</v>
      </c>
      <c r="G452" s="7">
        <v>42733</v>
      </c>
      <c r="H452" s="7">
        <v>44193</v>
      </c>
      <c r="I452" s="5" t="s">
        <v>2275</v>
      </c>
      <c r="J452" s="5" t="str">
        <f>"North Western, Solwezi"</f>
        <v>North Western, Solwezi</v>
      </c>
    </row>
    <row r="453" spans="1:10" x14ac:dyDescent="0.2">
      <c r="A453" s="2" t="str">
        <f>"21600-HQ-SEL"</f>
        <v>21600-HQ-SEL</v>
      </c>
      <c r="B453" s="8" t="s">
        <v>944</v>
      </c>
      <c r="C453" s="8" t="s">
        <v>34</v>
      </c>
      <c r="D453" s="8" t="s">
        <v>958</v>
      </c>
      <c r="E453" s="8" t="s">
        <v>13</v>
      </c>
      <c r="F453" s="9">
        <v>42719.510416666664</v>
      </c>
      <c r="G453" s="10">
        <v>42724</v>
      </c>
      <c r="H453" s="10">
        <v>44184</v>
      </c>
      <c r="I453" s="8" t="s">
        <v>959</v>
      </c>
      <c r="J453" s="8" t="str">
        <f>"Eastern, Lundazi"</f>
        <v>Eastern, Lundazi</v>
      </c>
    </row>
    <row r="454" spans="1:10" ht="22.5" x14ac:dyDescent="0.2">
      <c r="A454" s="1" t="str">
        <f>"00015-HQ-PLEL"</f>
        <v>00015-HQ-PLEL</v>
      </c>
      <c r="B454" s="5" t="s">
        <v>960</v>
      </c>
      <c r="C454" s="5" t="s">
        <v>961</v>
      </c>
      <c r="D454" s="5" t="s">
        <v>51</v>
      </c>
      <c r="E454" s="5" t="s">
        <v>962</v>
      </c>
      <c r="F454" s="6">
        <v>42096.560520833336</v>
      </c>
      <c r="G454" s="7">
        <v>42146</v>
      </c>
      <c r="H454" s="7">
        <v>43241</v>
      </c>
      <c r="I454" s="5" t="s">
        <v>963</v>
      </c>
      <c r="J454" s="5" t="str">
        <f>"Western, Kaoma"</f>
        <v>Western, Kaoma</v>
      </c>
    </row>
    <row r="455" spans="1:10" ht="22.5" x14ac:dyDescent="0.2">
      <c r="A455" s="2" t="str">
        <f>"00018-HQ-PLEL"</f>
        <v>00018-HQ-PLEL</v>
      </c>
      <c r="B455" s="8" t="s">
        <v>960</v>
      </c>
      <c r="C455" s="8" t="s">
        <v>961</v>
      </c>
      <c r="D455" s="8" t="s">
        <v>51</v>
      </c>
      <c r="E455" s="8" t="s">
        <v>962</v>
      </c>
      <c r="F455" s="9">
        <v>41852.684016203704</v>
      </c>
      <c r="G455" s="10">
        <v>41866</v>
      </c>
      <c r="H455" s="10">
        <v>42961</v>
      </c>
      <c r="I455" s="8" t="s">
        <v>964</v>
      </c>
      <c r="J455" s="8" t="str">
        <f>"Western, Senanga"</f>
        <v>Western, Senanga</v>
      </c>
    </row>
    <row r="456" spans="1:10" x14ac:dyDescent="0.2">
      <c r="A456" s="1" t="str">
        <f>"86-HQ-SML"</f>
        <v>86-HQ-SML</v>
      </c>
      <c r="B456" s="5" t="s">
        <v>965</v>
      </c>
      <c r="C456" s="5" t="s">
        <v>11</v>
      </c>
      <c r="D456" s="5" t="s">
        <v>966</v>
      </c>
      <c r="E456" s="5" t="s">
        <v>13</v>
      </c>
      <c r="F456" s="6">
        <v>35557.612430555557</v>
      </c>
      <c r="G456" s="7">
        <v>35557</v>
      </c>
      <c r="H456" s="7">
        <v>42861</v>
      </c>
      <c r="I456" s="5" t="s">
        <v>967</v>
      </c>
      <c r="J456" s="5" t="str">
        <f>"Southern, Kalomo"</f>
        <v>Southern, Kalomo</v>
      </c>
    </row>
    <row r="457" spans="1:10" x14ac:dyDescent="0.2">
      <c r="A457" s="2" t="str">
        <f>"155-HQ-SML"</f>
        <v>155-HQ-SML</v>
      </c>
      <c r="B457" s="8" t="s">
        <v>968</v>
      </c>
      <c r="C457" s="8" t="s">
        <v>11</v>
      </c>
      <c r="D457" s="8" t="s">
        <v>570</v>
      </c>
      <c r="E457" s="8" t="s">
        <v>13</v>
      </c>
      <c r="F457" s="9">
        <v>32609</v>
      </c>
      <c r="G457" s="10">
        <v>35709</v>
      </c>
      <c r="H457" s="10">
        <v>43013</v>
      </c>
      <c r="I457" s="8" t="s">
        <v>969</v>
      </c>
      <c r="J457" s="8" t="str">
        <f>"Copperbelt, Lufwanyama"</f>
        <v>Copperbelt, Lufwanyama</v>
      </c>
    </row>
    <row r="458" spans="1:10" ht="22.5" x14ac:dyDescent="0.2">
      <c r="A458" s="1" t="str">
        <f>"171-HQ-SML"</f>
        <v>171-HQ-SML</v>
      </c>
      <c r="B458" s="5" t="s">
        <v>970</v>
      </c>
      <c r="C458" s="5" t="s">
        <v>11</v>
      </c>
      <c r="D458" s="5" t="s">
        <v>570</v>
      </c>
      <c r="E458" s="5" t="s">
        <v>13</v>
      </c>
      <c r="F458" s="6">
        <v>33924</v>
      </c>
      <c r="G458" s="7">
        <v>35733</v>
      </c>
      <c r="H458" s="7">
        <v>43037</v>
      </c>
      <c r="I458" s="5" t="s">
        <v>971</v>
      </c>
      <c r="J458" s="5" t="str">
        <f>"Copperbelt, Lufwanyama"</f>
        <v>Copperbelt, Lufwanyama</v>
      </c>
    </row>
    <row r="459" spans="1:10" x14ac:dyDescent="0.2">
      <c r="A459" s="2" t="str">
        <f>"757-HQ-SML"</f>
        <v>757-HQ-SML</v>
      </c>
      <c r="B459" s="8" t="s">
        <v>972</v>
      </c>
      <c r="C459" s="8" t="s">
        <v>11</v>
      </c>
      <c r="D459" s="8" t="s">
        <v>973</v>
      </c>
      <c r="E459" s="8" t="s">
        <v>13</v>
      </c>
      <c r="F459" s="9">
        <v>38833.66946759259</v>
      </c>
      <c r="G459" s="10">
        <v>39213</v>
      </c>
      <c r="H459" s="10">
        <v>42865</v>
      </c>
      <c r="I459" s="8" t="s">
        <v>974</v>
      </c>
      <c r="J459" s="8" t="str">
        <f>"Copperbelt, Lufwanyama"</f>
        <v>Copperbelt, Lufwanyama</v>
      </c>
    </row>
    <row r="460" spans="1:10" x14ac:dyDescent="0.2">
      <c r="A460" s="1" t="str">
        <f>"758-HQ-SML"</f>
        <v>758-HQ-SML</v>
      </c>
      <c r="B460" s="5" t="s">
        <v>975</v>
      </c>
      <c r="C460" s="5" t="s">
        <v>11</v>
      </c>
      <c r="D460" s="5" t="s">
        <v>570</v>
      </c>
      <c r="E460" s="5" t="s">
        <v>13</v>
      </c>
      <c r="F460" s="6">
        <v>39134.556944444441</v>
      </c>
      <c r="G460" s="7">
        <v>39295</v>
      </c>
      <c r="H460" s="7">
        <v>42947</v>
      </c>
      <c r="I460" s="5" t="s">
        <v>976</v>
      </c>
      <c r="J460" s="5" t="str">
        <f>"Copperbelt, Mpongwe, Chief Kalunkumya"</f>
        <v>Copperbelt, Mpongwe, Chief Kalunkumya</v>
      </c>
    </row>
    <row r="461" spans="1:10" x14ac:dyDescent="0.2">
      <c r="A461" s="2" t="str">
        <f>"761-HQ-SML"</f>
        <v>761-HQ-SML</v>
      </c>
      <c r="B461" s="8" t="s">
        <v>977</v>
      </c>
      <c r="C461" s="8" t="s">
        <v>11</v>
      </c>
      <c r="D461" s="8" t="s">
        <v>978</v>
      </c>
      <c r="E461" s="8" t="s">
        <v>13</v>
      </c>
      <c r="F461" s="9">
        <v>39029.390277777777</v>
      </c>
      <c r="G461" s="10">
        <v>39335</v>
      </c>
      <c r="H461" s="10">
        <v>42987</v>
      </c>
      <c r="I461" s="8" t="s">
        <v>979</v>
      </c>
      <c r="J461" s="8" t="str">
        <f>"Southern, Siavonga"</f>
        <v>Southern, Siavonga</v>
      </c>
    </row>
    <row r="462" spans="1:10" x14ac:dyDescent="0.2">
      <c r="A462" s="1" t="str">
        <f>"6888-HQ-LEL"</f>
        <v>6888-HQ-LEL</v>
      </c>
      <c r="B462" s="5" t="s">
        <v>980</v>
      </c>
      <c r="C462" s="5" t="s">
        <v>15</v>
      </c>
      <c r="D462" s="5" t="s">
        <v>736</v>
      </c>
      <c r="E462" s="5" t="s">
        <v>13</v>
      </c>
      <c r="F462" s="6">
        <v>40823.649305555555</v>
      </c>
      <c r="G462" s="7">
        <v>41386</v>
      </c>
      <c r="H462" s="7">
        <v>42847</v>
      </c>
      <c r="I462" s="5" t="s">
        <v>981</v>
      </c>
      <c r="J462" s="5" t="str">
        <f>"North Western, Kabompo, Mufumbwe"</f>
        <v>North Western, Kabompo, Mufumbwe</v>
      </c>
    </row>
    <row r="463" spans="1:10" x14ac:dyDescent="0.2">
      <c r="A463" s="2" t="str">
        <f>"7060-HQ-LML "</f>
        <v xml:space="preserve">7060-HQ-LML </v>
      </c>
      <c r="B463" s="8" t="s">
        <v>982</v>
      </c>
      <c r="C463" s="8" t="s">
        <v>37</v>
      </c>
      <c r="D463" s="8"/>
      <c r="E463" s="8" t="s">
        <v>138</v>
      </c>
      <c r="F463" s="9">
        <v>35075</v>
      </c>
      <c r="G463" s="10">
        <v>35556</v>
      </c>
      <c r="H463" s="10">
        <v>42867</v>
      </c>
      <c r="I463" s="8" t="s">
        <v>983</v>
      </c>
      <c r="J463" s="8" t="str">
        <f>"Copperbelt, Masaiti, Ndola"</f>
        <v>Copperbelt, Masaiti, Ndola</v>
      </c>
    </row>
    <row r="464" spans="1:10" x14ac:dyDescent="0.2">
      <c r="A464" s="1" t="str">
        <f>"7096-HQ-SML"</f>
        <v>7096-HQ-SML</v>
      </c>
      <c r="B464" s="5" t="s">
        <v>984</v>
      </c>
      <c r="C464" s="5" t="s">
        <v>11</v>
      </c>
      <c r="D464" s="5" t="s">
        <v>570</v>
      </c>
      <c r="E464" s="5" t="s">
        <v>13</v>
      </c>
      <c r="F464" s="6">
        <v>35474.556527777779</v>
      </c>
      <c r="G464" s="7">
        <v>35474</v>
      </c>
      <c r="H464" s="7">
        <v>42778</v>
      </c>
      <c r="I464" s="5" t="s">
        <v>985</v>
      </c>
      <c r="J464" s="5" t="str">
        <f>"Copperbelt, Lufwanyama"</f>
        <v>Copperbelt, Lufwanyama</v>
      </c>
    </row>
    <row r="465" spans="1:10" x14ac:dyDescent="0.2">
      <c r="A465" s="2" t="str">
        <f>"7141-HQ-SML"</f>
        <v>7141-HQ-SML</v>
      </c>
      <c r="B465" s="8" t="s">
        <v>986</v>
      </c>
      <c r="C465" s="8" t="s">
        <v>11</v>
      </c>
      <c r="D465" s="8" t="s">
        <v>987</v>
      </c>
      <c r="E465" s="8" t="s">
        <v>72</v>
      </c>
      <c r="F465" s="9">
        <v>35387.653668981482</v>
      </c>
      <c r="G465" s="10">
        <v>35521</v>
      </c>
      <c r="H465" s="10">
        <v>42825</v>
      </c>
      <c r="I465" s="8" t="s">
        <v>988</v>
      </c>
      <c r="J465" s="8" t="str">
        <f>"Lusaka, Chongwe"</f>
        <v>Lusaka, Chongwe</v>
      </c>
    </row>
    <row r="466" spans="1:10" x14ac:dyDescent="0.2">
      <c r="A466" s="1" t="str">
        <f>"7164-HQ-SML"</f>
        <v>7164-HQ-SML</v>
      </c>
      <c r="B466" s="5" t="s">
        <v>989</v>
      </c>
      <c r="C466" s="5" t="s">
        <v>11</v>
      </c>
      <c r="D466" s="5" t="s">
        <v>966</v>
      </c>
      <c r="E466" s="5" t="s">
        <v>13</v>
      </c>
      <c r="F466" s="6">
        <v>35535.424305555556</v>
      </c>
      <c r="G466" s="7">
        <v>35565</v>
      </c>
      <c r="H466" s="7">
        <v>42869</v>
      </c>
      <c r="I466" s="5" t="s">
        <v>990</v>
      </c>
      <c r="J466" s="5" t="str">
        <f>"Southern, Kalomo"</f>
        <v>Southern, Kalomo</v>
      </c>
    </row>
    <row r="467" spans="1:10" x14ac:dyDescent="0.2">
      <c r="A467" s="2" t="str">
        <f>"7174-HQ-SML"</f>
        <v>7174-HQ-SML</v>
      </c>
      <c r="B467" s="8" t="s">
        <v>991</v>
      </c>
      <c r="C467" s="8" t="s">
        <v>11</v>
      </c>
      <c r="D467" s="8" t="s">
        <v>992</v>
      </c>
      <c r="E467" s="8" t="s">
        <v>13</v>
      </c>
      <c r="F467" s="9">
        <v>34106.644317129627</v>
      </c>
      <c r="G467" s="10">
        <v>35556</v>
      </c>
      <c r="H467" s="10">
        <v>42860</v>
      </c>
      <c r="I467" s="8" t="s">
        <v>993</v>
      </c>
      <c r="J467" s="8" t="str">
        <f>"Central, Mumbwa"</f>
        <v>Central, Mumbwa</v>
      </c>
    </row>
    <row r="468" spans="1:10" x14ac:dyDescent="0.2">
      <c r="A468" s="1" t="str">
        <f>"7224-HQ-SML"</f>
        <v>7224-HQ-SML</v>
      </c>
      <c r="B468" s="5" t="s">
        <v>494</v>
      </c>
      <c r="C468" s="5" t="s">
        <v>11</v>
      </c>
      <c r="D468" s="5" t="s">
        <v>58</v>
      </c>
      <c r="E468" s="5" t="s">
        <v>489</v>
      </c>
      <c r="F468" s="6">
        <v>35600</v>
      </c>
      <c r="G468" s="7">
        <v>35634</v>
      </c>
      <c r="H468" s="7">
        <v>42938</v>
      </c>
      <c r="I468" s="5" t="s">
        <v>994</v>
      </c>
      <c r="J468" s="5" t="str">
        <f>"Luapula, Mwense"</f>
        <v>Luapula, Mwense</v>
      </c>
    </row>
    <row r="469" spans="1:10" x14ac:dyDescent="0.2">
      <c r="A469" s="2" t="str">
        <f>"7235-HQ-SML"</f>
        <v>7235-HQ-SML</v>
      </c>
      <c r="B469" s="8" t="s">
        <v>995</v>
      </c>
      <c r="C469" s="8" t="s">
        <v>11</v>
      </c>
      <c r="D469" s="8" t="s">
        <v>541</v>
      </c>
      <c r="E469" s="8" t="s">
        <v>13</v>
      </c>
      <c r="F469" s="9">
        <v>34897.605555555558</v>
      </c>
      <c r="G469" s="10">
        <v>35528</v>
      </c>
      <c r="H469" s="10">
        <v>42959</v>
      </c>
      <c r="I469" s="8" t="s">
        <v>996</v>
      </c>
      <c r="J469" s="8" t="str">
        <f>"Lusaka, Kafue, Lusaka"</f>
        <v>Lusaka, Kafue, Lusaka</v>
      </c>
    </row>
    <row r="470" spans="1:10" x14ac:dyDescent="0.2">
      <c r="A470" s="1" t="str">
        <f>"7294-HQ-SML"</f>
        <v>7294-HQ-SML</v>
      </c>
      <c r="B470" s="5" t="s">
        <v>997</v>
      </c>
      <c r="C470" s="5" t="s">
        <v>11</v>
      </c>
      <c r="D470" s="5" t="s">
        <v>541</v>
      </c>
      <c r="E470" s="5" t="s">
        <v>13</v>
      </c>
      <c r="F470" s="6">
        <v>35716.333333333336</v>
      </c>
      <c r="G470" s="7">
        <v>35716</v>
      </c>
      <c r="H470" s="7">
        <v>43020</v>
      </c>
      <c r="I470" s="5" t="s">
        <v>998</v>
      </c>
      <c r="J470" s="5" t="str">
        <f>"Lusaka, Kafue"</f>
        <v>Lusaka, Kafue</v>
      </c>
    </row>
    <row r="471" spans="1:10" x14ac:dyDescent="0.2">
      <c r="A471" s="2" t="str">
        <f>"7312-HQ-SML"</f>
        <v>7312-HQ-SML</v>
      </c>
      <c r="B471" s="8" t="s">
        <v>999</v>
      </c>
      <c r="C471" s="8" t="s">
        <v>11</v>
      </c>
      <c r="D471" s="8" t="s">
        <v>541</v>
      </c>
      <c r="E471" s="8" t="s">
        <v>72</v>
      </c>
      <c r="F471" s="9">
        <v>35270.469733796293</v>
      </c>
      <c r="G471" s="10">
        <v>35544</v>
      </c>
      <c r="H471" s="10">
        <v>42848</v>
      </c>
      <c r="I471" s="8" t="s">
        <v>1000</v>
      </c>
      <c r="J471" s="8" t="str">
        <f>"Lusaka, Lusaka"</f>
        <v>Lusaka, Lusaka</v>
      </c>
    </row>
    <row r="472" spans="1:10" x14ac:dyDescent="0.2">
      <c r="A472" s="1" t="str">
        <f>"7313-HQ-SML"</f>
        <v>7313-HQ-SML</v>
      </c>
      <c r="B472" s="5" t="s">
        <v>999</v>
      </c>
      <c r="C472" s="5" t="s">
        <v>11</v>
      </c>
      <c r="D472" s="5" t="s">
        <v>12</v>
      </c>
      <c r="E472" s="5" t="s">
        <v>72</v>
      </c>
      <c r="F472" s="6">
        <v>35544</v>
      </c>
      <c r="G472" s="7">
        <v>35544</v>
      </c>
      <c r="H472" s="7">
        <v>43006</v>
      </c>
      <c r="I472" s="5" t="s">
        <v>1001</v>
      </c>
      <c r="J472" s="5" t="str">
        <f>"Lusaka, Lusaka"</f>
        <v>Lusaka, Lusaka</v>
      </c>
    </row>
    <row r="473" spans="1:10" x14ac:dyDescent="0.2">
      <c r="A473" s="2" t="str">
        <f>"7314-HQ-SML"</f>
        <v>7314-HQ-SML</v>
      </c>
      <c r="B473" s="8" t="s">
        <v>999</v>
      </c>
      <c r="C473" s="8" t="s">
        <v>11</v>
      </c>
      <c r="D473" s="8" t="s">
        <v>541</v>
      </c>
      <c r="E473" s="8" t="s">
        <v>13</v>
      </c>
      <c r="F473" s="9">
        <v>33374</v>
      </c>
      <c r="G473" s="10">
        <v>35544</v>
      </c>
      <c r="H473" s="10">
        <v>42876</v>
      </c>
      <c r="I473" s="8" t="s">
        <v>1002</v>
      </c>
      <c r="J473" s="8" t="str">
        <f>"Lusaka, Kafue"</f>
        <v>Lusaka, Kafue</v>
      </c>
    </row>
    <row r="474" spans="1:10" x14ac:dyDescent="0.2">
      <c r="A474" s="1" t="str">
        <f>"7325-HQ-SML"</f>
        <v>7325-HQ-SML</v>
      </c>
      <c r="B474" s="5" t="s">
        <v>1003</v>
      </c>
      <c r="C474" s="5" t="s">
        <v>11</v>
      </c>
      <c r="D474" s="5" t="s">
        <v>1004</v>
      </c>
      <c r="E474" s="5" t="s">
        <v>72</v>
      </c>
      <c r="F474" s="6">
        <v>35635</v>
      </c>
      <c r="G474" s="7">
        <v>35773</v>
      </c>
      <c r="H474" s="7">
        <v>43077</v>
      </c>
      <c r="I474" s="5" t="s">
        <v>1005</v>
      </c>
      <c r="J474" s="5" t="str">
        <f>"Lusaka, Kafue, Shantumbu"</f>
        <v>Lusaka, Kafue, Shantumbu</v>
      </c>
    </row>
    <row r="475" spans="1:10" x14ac:dyDescent="0.2">
      <c r="A475" s="2" t="str">
        <f>"7326-HQ-SML"</f>
        <v>7326-HQ-SML</v>
      </c>
      <c r="B475" s="8" t="s">
        <v>1006</v>
      </c>
      <c r="C475" s="8" t="s">
        <v>11</v>
      </c>
      <c r="D475" s="8" t="s">
        <v>973</v>
      </c>
      <c r="E475" s="8" t="s">
        <v>72</v>
      </c>
      <c r="F475" s="9">
        <v>33176.471990740742</v>
      </c>
      <c r="G475" s="10">
        <v>35776</v>
      </c>
      <c r="H475" s="10">
        <v>43080</v>
      </c>
      <c r="I475" s="8" t="s">
        <v>1007</v>
      </c>
      <c r="J475" s="8" t="str">
        <f>"Copperbelt, Lufwanyama"</f>
        <v>Copperbelt, Lufwanyama</v>
      </c>
    </row>
    <row r="476" spans="1:10" x14ac:dyDescent="0.2">
      <c r="A476" s="1" t="str">
        <f>"7327-HQ-SML"</f>
        <v>7327-HQ-SML</v>
      </c>
      <c r="B476" s="5" t="s">
        <v>1008</v>
      </c>
      <c r="C476" s="5" t="s">
        <v>11</v>
      </c>
      <c r="D476" s="5" t="s">
        <v>156</v>
      </c>
      <c r="E476" s="5" t="s">
        <v>72</v>
      </c>
      <c r="F476" s="6">
        <v>35627.386296296296</v>
      </c>
      <c r="G476" s="7">
        <v>35685</v>
      </c>
      <c r="H476" s="7">
        <v>42989</v>
      </c>
      <c r="I476" s="5" t="s">
        <v>1009</v>
      </c>
      <c r="J476" s="5" t="str">
        <f>"Luapula, Mansa"</f>
        <v>Luapula, Mansa</v>
      </c>
    </row>
    <row r="477" spans="1:10" x14ac:dyDescent="0.2">
      <c r="A477" s="2" t="str">
        <f>"7343-HQ-SML"</f>
        <v>7343-HQ-SML</v>
      </c>
      <c r="B477" s="8" t="s">
        <v>1010</v>
      </c>
      <c r="C477" s="8" t="s">
        <v>11</v>
      </c>
      <c r="D477" s="8" t="s">
        <v>973</v>
      </c>
      <c r="E477" s="8" t="s">
        <v>13</v>
      </c>
      <c r="F477" s="9">
        <v>33113.709687499999</v>
      </c>
      <c r="G477" s="10">
        <v>35815</v>
      </c>
      <c r="H477" s="10">
        <v>43119</v>
      </c>
      <c r="I477" s="8" t="s">
        <v>1011</v>
      </c>
      <c r="J477" s="8" t="str">
        <f>"Copperbelt, Lufwanyama"</f>
        <v>Copperbelt, Lufwanyama</v>
      </c>
    </row>
    <row r="478" spans="1:10" x14ac:dyDescent="0.2">
      <c r="A478" s="1" t="str">
        <f>"7348-HQ-SML"</f>
        <v>7348-HQ-SML</v>
      </c>
      <c r="B478" s="5" t="s">
        <v>1012</v>
      </c>
      <c r="C478" s="5" t="s">
        <v>11</v>
      </c>
      <c r="D478" s="5" t="s">
        <v>1004</v>
      </c>
      <c r="E478" s="5" t="s">
        <v>72</v>
      </c>
      <c r="F478" s="6">
        <v>35730.403923611113</v>
      </c>
      <c r="G478" s="7">
        <v>35809</v>
      </c>
      <c r="H478" s="7">
        <v>43006</v>
      </c>
      <c r="I478" s="5" t="s">
        <v>1013</v>
      </c>
      <c r="J478" s="5" t="str">
        <f>"Lusaka, Kafue"</f>
        <v>Lusaka, Kafue</v>
      </c>
    </row>
    <row r="479" spans="1:10" x14ac:dyDescent="0.2">
      <c r="A479" s="2" t="str">
        <f>"7359-HQ-SML"</f>
        <v>7359-HQ-SML</v>
      </c>
      <c r="B479" s="8" t="s">
        <v>1014</v>
      </c>
      <c r="C479" s="8" t="s">
        <v>11</v>
      </c>
      <c r="D479" s="8" t="s">
        <v>541</v>
      </c>
      <c r="E479" s="8" t="s">
        <v>489</v>
      </c>
      <c r="F479" s="9">
        <v>35264</v>
      </c>
      <c r="G479" s="10">
        <v>35815</v>
      </c>
      <c r="H479" s="10">
        <v>43274</v>
      </c>
      <c r="I479" s="8" t="s">
        <v>1015</v>
      </c>
      <c r="J479" s="8" t="str">
        <f>"Copperbelt, Ndola"</f>
        <v>Copperbelt, Ndola</v>
      </c>
    </row>
    <row r="480" spans="1:10" x14ac:dyDescent="0.2">
      <c r="A480" s="1" t="str">
        <f>"7408-HQ-SML"</f>
        <v>7408-HQ-SML</v>
      </c>
      <c r="B480" s="5" t="s">
        <v>1016</v>
      </c>
      <c r="C480" s="5" t="s">
        <v>11</v>
      </c>
      <c r="D480" s="5" t="s">
        <v>826</v>
      </c>
      <c r="E480" s="5" t="s">
        <v>13</v>
      </c>
      <c r="F480" s="6">
        <v>31636.408645833333</v>
      </c>
      <c r="G480" s="7">
        <v>35816</v>
      </c>
      <c r="H480" s="7">
        <v>43120</v>
      </c>
      <c r="I480" s="5" t="s">
        <v>1017</v>
      </c>
      <c r="J480" s="5" t="str">
        <f>"Copperbelt, Lufwanyama"</f>
        <v>Copperbelt, Lufwanyama</v>
      </c>
    </row>
    <row r="481" spans="1:10" x14ac:dyDescent="0.2">
      <c r="A481" s="2" t="str">
        <f>"7429-HQ-SML"</f>
        <v>7429-HQ-SML</v>
      </c>
      <c r="B481" s="8" t="s">
        <v>1018</v>
      </c>
      <c r="C481" s="8" t="s">
        <v>11</v>
      </c>
      <c r="D481" s="8" t="s">
        <v>570</v>
      </c>
      <c r="E481" s="8" t="s">
        <v>13</v>
      </c>
      <c r="F481" s="9">
        <v>35775.645833333336</v>
      </c>
      <c r="G481" s="10">
        <v>39566</v>
      </c>
      <c r="H481" s="10">
        <v>43217</v>
      </c>
      <c r="I481" s="8" t="s">
        <v>1019</v>
      </c>
      <c r="J481" s="8" t="str">
        <f>"Copperbelt, Lufwanyama"</f>
        <v>Copperbelt, Lufwanyama</v>
      </c>
    </row>
    <row r="482" spans="1:10" x14ac:dyDescent="0.2">
      <c r="A482" s="1" t="str">
        <f>"7493-HQ-SML"</f>
        <v>7493-HQ-SML</v>
      </c>
      <c r="B482" s="5" t="s">
        <v>1020</v>
      </c>
      <c r="C482" s="5" t="s">
        <v>11</v>
      </c>
      <c r="D482" s="5" t="s">
        <v>487</v>
      </c>
      <c r="E482" s="5" t="s">
        <v>13</v>
      </c>
      <c r="F482" s="6">
        <v>34850</v>
      </c>
      <c r="G482" s="7">
        <v>36056</v>
      </c>
      <c r="H482" s="7">
        <v>43360</v>
      </c>
      <c r="I482" s="5" t="s">
        <v>1021</v>
      </c>
      <c r="J482" s="5" t="str">
        <f>"Eastern, Chama"</f>
        <v>Eastern, Chama</v>
      </c>
    </row>
    <row r="483" spans="1:10" x14ac:dyDescent="0.2">
      <c r="A483" s="2" t="str">
        <f>"7515-HQ-SML"</f>
        <v>7515-HQ-SML</v>
      </c>
      <c r="B483" s="8" t="s">
        <v>1022</v>
      </c>
      <c r="C483" s="8" t="s">
        <v>11</v>
      </c>
      <c r="D483" s="8" t="s">
        <v>65</v>
      </c>
      <c r="E483" s="8" t="s">
        <v>13</v>
      </c>
      <c r="F483" s="9">
        <v>36129.444664351853</v>
      </c>
      <c r="G483" s="10">
        <v>36129</v>
      </c>
      <c r="H483" s="10">
        <v>43433</v>
      </c>
      <c r="I483" s="8" t="s">
        <v>1023</v>
      </c>
      <c r="J483" s="8" t="str">
        <f>"Central, Mkushi"</f>
        <v>Central, Mkushi</v>
      </c>
    </row>
    <row r="484" spans="1:10" x14ac:dyDescent="0.2">
      <c r="A484" s="1" t="str">
        <f>"7526-HQ-SML"</f>
        <v>7526-HQ-SML</v>
      </c>
      <c r="B484" s="5" t="s">
        <v>1024</v>
      </c>
      <c r="C484" s="5" t="s">
        <v>11</v>
      </c>
      <c r="D484" s="5" t="s">
        <v>97</v>
      </c>
      <c r="E484" s="5" t="s">
        <v>489</v>
      </c>
      <c r="F484" s="6">
        <v>36108</v>
      </c>
      <c r="G484" s="7">
        <v>37726</v>
      </c>
      <c r="H484" s="7">
        <v>43027</v>
      </c>
      <c r="I484" s="5" t="s">
        <v>1025</v>
      </c>
      <c r="J484" s="5" t="str">
        <f>"Copperbelt, Ndola"</f>
        <v>Copperbelt, Ndola</v>
      </c>
    </row>
    <row r="485" spans="1:10" x14ac:dyDescent="0.2">
      <c r="A485" s="2" t="str">
        <f>"7857-HQ-SML"</f>
        <v>7857-HQ-SML</v>
      </c>
      <c r="B485" s="8" t="s">
        <v>1026</v>
      </c>
      <c r="C485" s="8" t="s">
        <v>11</v>
      </c>
      <c r="D485" s="8" t="s">
        <v>1027</v>
      </c>
      <c r="E485" s="8" t="s">
        <v>72</v>
      </c>
      <c r="F485" s="9">
        <v>37005</v>
      </c>
      <c r="G485" s="10">
        <v>37358</v>
      </c>
      <c r="H485" s="10">
        <v>42836</v>
      </c>
      <c r="I485" s="8" t="s">
        <v>1028</v>
      </c>
      <c r="J485" s="8" t="str">
        <f>"Lusaka, Kafue, Shantumbu"</f>
        <v>Lusaka, Kafue, Shantumbu</v>
      </c>
    </row>
    <row r="486" spans="1:10" x14ac:dyDescent="0.2">
      <c r="A486" s="1" t="str">
        <f>"7926-HQ-SML"</f>
        <v>7926-HQ-SML</v>
      </c>
      <c r="B486" s="5" t="s">
        <v>1029</v>
      </c>
      <c r="C486" s="5" t="s">
        <v>11</v>
      </c>
      <c r="D486" s="5"/>
      <c r="E486" s="5" t="s">
        <v>13</v>
      </c>
      <c r="F486" s="6">
        <v>37379.416666666664</v>
      </c>
      <c r="G486" s="7">
        <v>37421</v>
      </c>
      <c r="H486" s="7">
        <v>43006</v>
      </c>
      <c r="I486" s="5" t="s">
        <v>1030</v>
      </c>
      <c r="J486" s="5" t="str">
        <f>"Copperbelt, Luanshya"</f>
        <v>Copperbelt, Luanshya</v>
      </c>
    </row>
    <row r="487" spans="1:10" x14ac:dyDescent="0.2">
      <c r="A487" s="2" t="str">
        <f>"7931-HQ-SML"</f>
        <v>7931-HQ-SML</v>
      </c>
      <c r="B487" s="8" t="s">
        <v>1031</v>
      </c>
      <c r="C487" s="8" t="s">
        <v>11</v>
      </c>
      <c r="D487" s="8" t="s">
        <v>1032</v>
      </c>
      <c r="E487" s="8" t="s">
        <v>72</v>
      </c>
      <c r="F487" s="9">
        <v>39117</v>
      </c>
      <c r="G487" s="10">
        <v>37466</v>
      </c>
      <c r="H487" s="10">
        <v>42944</v>
      </c>
      <c r="I487" s="8" t="s">
        <v>1033</v>
      </c>
      <c r="J487" s="8" t="str">
        <f>"Central, Mumbwa"</f>
        <v>Central, Mumbwa</v>
      </c>
    </row>
    <row r="488" spans="1:10" x14ac:dyDescent="0.2">
      <c r="A488" s="1" t="str">
        <f>"7937-HQ-SML"</f>
        <v>7937-HQ-SML</v>
      </c>
      <c r="B488" s="5" t="s">
        <v>1034</v>
      </c>
      <c r="C488" s="5" t="s">
        <v>11</v>
      </c>
      <c r="D488" s="5" t="s">
        <v>45</v>
      </c>
      <c r="E488" s="5" t="s">
        <v>13</v>
      </c>
      <c r="F488" s="6">
        <v>37457.000289351854</v>
      </c>
      <c r="G488" s="7">
        <v>37489</v>
      </c>
      <c r="H488" s="7">
        <v>42967</v>
      </c>
      <c r="I488" s="5" t="s">
        <v>1035</v>
      </c>
      <c r="J488" s="5" t="str">
        <f>"Northern, Luwingu"</f>
        <v>Northern, Luwingu</v>
      </c>
    </row>
    <row r="489" spans="1:10" x14ac:dyDescent="0.2">
      <c r="A489" s="2" t="str">
        <f>"7956-HQ-SML"</f>
        <v>7956-HQ-SML</v>
      </c>
      <c r="B489" s="8" t="s">
        <v>1036</v>
      </c>
      <c r="C489" s="8" t="s">
        <v>11</v>
      </c>
      <c r="D489" s="8" t="s">
        <v>45</v>
      </c>
      <c r="E489" s="8" t="s">
        <v>72</v>
      </c>
      <c r="F489" s="9">
        <v>37400.598738425928</v>
      </c>
      <c r="G489" s="10">
        <v>37566</v>
      </c>
      <c r="H489" s="10">
        <v>43006</v>
      </c>
      <c r="I489" s="8" t="s">
        <v>1037</v>
      </c>
      <c r="J489" s="8" t="str">
        <f>"Lusaka, Kafue"</f>
        <v>Lusaka, Kafue</v>
      </c>
    </row>
    <row r="490" spans="1:10" x14ac:dyDescent="0.2">
      <c r="A490" s="1" t="str">
        <f>"7964-HQ-SML"</f>
        <v>7964-HQ-SML</v>
      </c>
      <c r="B490" s="5" t="s">
        <v>10</v>
      </c>
      <c r="C490" s="5" t="s">
        <v>11</v>
      </c>
      <c r="D490" s="5" t="s">
        <v>1038</v>
      </c>
      <c r="E490" s="5" t="s">
        <v>13</v>
      </c>
      <c r="F490" s="6">
        <v>37412.459756944445</v>
      </c>
      <c r="G490" s="7">
        <v>39413</v>
      </c>
      <c r="H490" s="7">
        <v>43065</v>
      </c>
      <c r="I490" s="5" t="s">
        <v>1039</v>
      </c>
      <c r="J490" s="5" t="str">
        <f>"Southern, Siavonga"</f>
        <v>Southern, Siavonga</v>
      </c>
    </row>
    <row r="491" spans="1:10" x14ac:dyDescent="0.2">
      <c r="A491" s="2" t="str">
        <f>"7970-HQ-SML"</f>
        <v>7970-HQ-SML</v>
      </c>
      <c r="B491" s="8" t="s">
        <v>1040</v>
      </c>
      <c r="C491" s="8" t="s">
        <v>11</v>
      </c>
      <c r="D491" s="8" t="s">
        <v>570</v>
      </c>
      <c r="E491" s="8" t="s">
        <v>72</v>
      </c>
      <c r="F491" s="9">
        <v>37280.370740740742</v>
      </c>
      <c r="G491" s="10">
        <v>37628</v>
      </c>
      <c r="H491" s="10">
        <v>43106</v>
      </c>
      <c r="I491" s="8" t="s">
        <v>1041</v>
      </c>
      <c r="J491" s="8" t="str">
        <f>"Central, Kapiri Mposhi"</f>
        <v>Central, Kapiri Mposhi</v>
      </c>
    </row>
    <row r="492" spans="1:10" x14ac:dyDescent="0.2">
      <c r="A492" s="1" t="str">
        <f>"7972-HQ-SML"</f>
        <v>7972-HQ-SML</v>
      </c>
      <c r="B492" s="5" t="s">
        <v>1042</v>
      </c>
      <c r="C492" s="5" t="s">
        <v>11</v>
      </c>
      <c r="D492" s="5" t="s">
        <v>40</v>
      </c>
      <c r="E492" s="5" t="s">
        <v>13</v>
      </c>
      <c r="F492" s="6">
        <v>37699.604166666664</v>
      </c>
      <c r="G492" s="7">
        <v>37834</v>
      </c>
      <c r="H492" s="7">
        <v>43312</v>
      </c>
      <c r="I492" s="5" t="s">
        <v>1043</v>
      </c>
      <c r="J492" s="5" t="str">
        <f>"North Western, Solwezi"</f>
        <v>North Western, Solwezi</v>
      </c>
    </row>
    <row r="493" spans="1:10" x14ac:dyDescent="0.2">
      <c r="A493" s="2" t="str">
        <f>"7982-HQ-SML"</f>
        <v>7982-HQ-SML</v>
      </c>
      <c r="B493" s="8" t="s">
        <v>1044</v>
      </c>
      <c r="C493" s="8" t="s">
        <v>11</v>
      </c>
      <c r="D493" s="8" t="s">
        <v>65</v>
      </c>
      <c r="E493" s="8" t="s">
        <v>72</v>
      </c>
      <c r="F493" s="9">
        <v>37580.466226851851</v>
      </c>
      <c r="G493" s="10">
        <v>37642</v>
      </c>
      <c r="H493" s="10">
        <v>42755</v>
      </c>
      <c r="I493" s="8" t="s">
        <v>1045</v>
      </c>
      <c r="J493" s="8" t="str">
        <f>"Central, Mkushi"</f>
        <v>Central, Mkushi</v>
      </c>
    </row>
    <row r="494" spans="1:10" x14ac:dyDescent="0.2">
      <c r="A494" s="1" t="str">
        <f>"8001-HQ-SML"</f>
        <v>8001-HQ-SML</v>
      </c>
      <c r="B494" s="5" t="s">
        <v>1046</v>
      </c>
      <c r="C494" s="5" t="s">
        <v>11</v>
      </c>
      <c r="D494" s="5" t="s">
        <v>51</v>
      </c>
      <c r="E494" s="5" t="s">
        <v>72</v>
      </c>
      <c r="F494" s="6">
        <v>37651</v>
      </c>
      <c r="G494" s="7">
        <v>37656</v>
      </c>
      <c r="H494" s="7">
        <v>43006</v>
      </c>
      <c r="I494" s="5" t="s">
        <v>1047</v>
      </c>
      <c r="J494" s="5" t="str">
        <f>"North Western, Kasempa"</f>
        <v>North Western, Kasempa</v>
      </c>
    </row>
    <row r="495" spans="1:10" x14ac:dyDescent="0.2">
      <c r="A495" s="2" t="str">
        <f>"8005-HQ-SML"</f>
        <v>8005-HQ-SML</v>
      </c>
      <c r="B495" s="8" t="s">
        <v>1048</v>
      </c>
      <c r="C495" s="8" t="s">
        <v>11</v>
      </c>
      <c r="D495" s="8" t="s">
        <v>570</v>
      </c>
      <c r="E495" s="8" t="s">
        <v>13</v>
      </c>
      <c r="F495" s="9">
        <v>37210.411805555559</v>
      </c>
      <c r="G495" s="10">
        <v>37701</v>
      </c>
      <c r="H495" s="10">
        <v>43179</v>
      </c>
      <c r="I495" s="8" t="s">
        <v>1049</v>
      </c>
      <c r="J495" s="8" t="str">
        <f>"Eastern, Chama"</f>
        <v>Eastern, Chama</v>
      </c>
    </row>
    <row r="496" spans="1:10" x14ac:dyDescent="0.2">
      <c r="A496" s="1" t="str">
        <f>"8023-HQ-SML"</f>
        <v>8023-HQ-SML</v>
      </c>
      <c r="B496" s="5" t="s">
        <v>1050</v>
      </c>
      <c r="C496" s="5" t="s">
        <v>11</v>
      </c>
      <c r="D496" s="5" t="s">
        <v>1051</v>
      </c>
      <c r="E496" s="5" t="s">
        <v>13</v>
      </c>
      <c r="F496" s="6">
        <v>37096</v>
      </c>
      <c r="G496" s="7">
        <v>37761</v>
      </c>
      <c r="H496" s="7">
        <v>43239</v>
      </c>
      <c r="I496" s="5" t="s">
        <v>1052</v>
      </c>
      <c r="J496" s="5" t="str">
        <f>"Southern, Choma"</f>
        <v>Southern, Choma</v>
      </c>
    </row>
    <row r="497" spans="1:10" x14ac:dyDescent="0.2">
      <c r="A497" s="2" t="str">
        <f>"8024-HQ-SML"</f>
        <v>8024-HQ-SML</v>
      </c>
      <c r="B497" s="8" t="s">
        <v>1053</v>
      </c>
      <c r="C497" s="8" t="s">
        <v>11</v>
      </c>
      <c r="D497" s="8" t="s">
        <v>97</v>
      </c>
      <c r="E497" s="8" t="s">
        <v>13</v>
      </c>
      <c r="F497" s="9">
        <v>37663.697916666664</v>
      </c>
      <c r="G497" s="10">
        <v>37698</v>
      </c>
      <c r="H497" s="10">
        <v>43326</v>
      </c>
      <c r="I497" s="8" t="s">
        <v>1054</v>
      </c>
      <c r="J497" s="8" t="str">
        <f>"Southern, Mazabuka"</f>
        <v>Southern, Mazabuka</v>
      </c>
    </row>
    <row r="498" spans="1:10" ht="22.5" x14ac:dyDescent="0.2">
      <c r="A498" s="1" t="str">
        <f>"8031-HQ-SML"</f>
        <v>8031-HQ-SML</v>
      </c>
      <c r="B498" s="5" t="s">
        <v>1055</v>
      </c>
      <c r="C498" s="5" t="s">
        <v>11</v>
      </c>
      <c r="D498" s="5" t="s">
        <v>1056</v>
      </c>
      <c r="E498" s="5" t="s">
        <v>530</v>
      </c>
      <c r="F498" s="6">
        <v>37728</v>
      </c>
      <c r="G498" s="7">
        <v>37763</v>
      </c>
      <c r="H498" s="7">
        <v>43006</v>
      </c>
      <c r="I498" s="5" t="s">
        <v>1057</v>
      </c>
      <c r="J498" s="5" t="str">
        <f>"North Western, Mufumbwe"</f>
        <v>North Western, Mufumbwe</v>
      </c>
    </row>
    <row r="499" spans="1:10" x14ac:dyDescent="0.2">
      <c r="A499" s="2" t="str">
        <f>"8043-HQ-SML"</f>
        <v>8043-HQ-SML</v>
      </c>
      <c r="B499" s="8" t="s">
        <v>1058</v>
      </c>
      <c r="C499" s="8" t="s">
        <v>11</v>
      </c>
      <c r="D499" s="8" t="s">
        <v>1059</v>
      </c>
      <c r="E499" s="8" t="s">
        <v>13</v>
      </c>
      <c r="F499" s="9">
        <v>37749.458333333336</v>
      </c>
      <c r="G499" s="10">
        <v>37798</v>
      </c>
      <c r="H499" s="10">
        <v>43006</v>
      </c>
      <c r="I499" s="8" t="s">
        <v>1060</v>
      </c>
      <c r="J499" s="8" t="str">
        <f>"Copperbelt, Chingola, Chingola"</f>
        <v>Copperbelt, Chingola, Chingola</v>
      </c>
    </row>
    <row r="500" spans="1:10" x14ac:dyDescent="0.2">
      <c r="A500" s="1" t="str">
        <f>"8048-HQ-SML"</f>
        <v>8048-HQ-SML</v>
      </c>
      <c r="B500" s="5" t="s">
        <v>1061</v>
      </c>
      <c r="C500" s="5" t="s">
        <v>11</v>
      </c>
      <c r="D500" s="5" t="s">
        <v>541</v>
      </c>
      <c r="E500" s="5" t="s">
        <v>13</v>
      </c>
      <c r="F500" s="6">
        <v>37907.502071759256</v>
      </c>
      <c r="G500" s="7">
        <v>37830</v>
      </c>
      <c r="H500" s="7">
        <v>43308</v>
      </c>
      <c r="I500" s="5" t="s">
        <v>1062</v>
      </c>
      <c r="J500" s="5" t="str">
        <f>"Lusaka, Lusaka"</f>
        <v>Lusaka, Lusaka</v>
      </c>
    </row>
    <row r="501" spans="1:10" x14ac:dyDescent="0.2">
      <c r="A501" s="2" t="str">
        <f>"8049-HQ-SML"</f>
        <v>8049-HQ-SML</v>
      </c>
      <c r="B501" s="8" t="s">
        <v>1063</v>
      </c>
      <c r="C501" s="8" t="s">
        <v>11</v>
      </c>
      <c r="D501" s="8" t="s">
        <v>45</v>
      </c>
      <c r="E501" s="8" t="s">
        <v>13</v>
      </c>
      <c r="F501" s="9">
        <v>37908.52847222222</v>
      </c>
      <c r="G501" s="10">
        <v>37830</v>
      </c>
      <c r="H501" s="10">
        <v>43308</v>
      </c>
      <c r="I501" s="8" t="s">
        <v>1064</v>
      </c>
      <c r="J501" s="8" t="str">
        <f>"Lusaka, Kafue"</f>
        <v>Lusaka, Kafue</v>
      </c>
    </row>
    <row r="502" spans="1:10" x14ac:dyDescent="0.2">
      <c r="A502" s="1" t="str">
        <f>"8050-HQ-SML"</f>
        <v>8050-HQ-SML</v>
      </c>
      <c r="B502" s="5" t="s">
        <v>1063</v>
      </c>
      <c r="C502" s="5" t="s">
        <v>11</v>
      </c>
      <c r="D502" s="5" t="s">
        <v>1004</v>
      </c>
      <c r="E502" s="5" t="s">
        <v>13</v>
      </c>
      <c r="F502" s="6">
        <v>37830</v>
      </c>
      <c r="G502" s="7">
        <v>37830</v>
      </c>
      <c r="H502" s="7">
        <v>43308</v>
      </c>
      <c r="I502" s="5" t="s">
        <v>1065</v>
      </c>
      <c r="J502" s="5" t="str">
        <f>"Lusaka, Kafue"</f>
        <v>Lusaka, Kafue</v>
      </c>
    </row>
    <row r="503" spans="1:10" x14ac:dyDescent="0.2">
      <c r="A503" s="2" t="str">
        <f>"8051-HQ-SML"</f>
        <v>8051-HQ-SML</v>
      </c>
      <c r="B503" s="8" t="s">
        <v>1061</v>
      </c>
      <c r="C503" s="8" t="s">
        <v>11</v>
      </c>
      <c r="D503" s="8" t="s">
        <v>1004</v>
      </c>
      <c r="E503" s="8" t="s">
        <v>13</v>
      </c>
      <c r="F503" s="9">
        <v>37800</v>
      </c>
      <c r="G503" s="10">
        <v>37830</v>
      </c>
      <c r="H503" s="10">
        <v>43308</v>
      </c>
      <c r="I503" s="8" t="s">
        <v>1066</v>
      </c>
      <c r="J503" s="8" t="str">
        <f>"Lusaka, Kafue"</f>
        <v>Lusaka, Kafue</v>
      </c>
    </row>
    <row r="504" spans="1:10" x14ac:dyDescent="0.2">
      <c r="A504" s="1" t="str">
        <f>"8052-HQ-SML"</f>
        <v>8052-HQ-SML</v>
      </c>
      <c r="B504" s="5" t="s">
        <v>1067</v>
      </c>
      <c r="C504" s="5" t="s">
        <v>11</v>
      </c>
      <c r="D504" s="5" t="s">
        <v>51</v>
      </c>
      <c r="E504" s="5" t="s">
        <v>55</v>
      </c>
      <c r="F504" s="6">
        <v>37851.512499999997</v>
      </c>
      <c r="G504" s="7">
        <v>37852</v>
      </c>
      <c r="H504" s="7">
        <v>43415</v>
      </c>
      <c r="I504" s="5" t="s">
        <v>1068</v>
      </c>
      <c r="J504" s="5" t="str">
        <f>"North Western, Mufumbwe"</f>
        <v>North Western, Mufumbwe</v>
      </c>
    </row>
    <row r="505" spans="1:10" x14ac:dyDescent="0.2">
      <c r="A505" s="2" t="str">
        <f>"8067-HQ-SML"</f>
        <v>8067-HQ-SML</v>
      </c>
      <c r="B505" s="8" t="s">
        <v>1069</v>
      </c>
      <c r="C505" s="8" t="s">
        <v>11</v>
      </c>
      <c r="D505" s="8" t="s">
        <v>1056</v>
      </c>
      <c r="E505" s="8" t="s">
        <v>489</v>
      </c>
      <c r="F505" s="9">
        <v>37850</v>
      </c>
      <c r="G505" s="10">
        <v>37879</v>
      </c>
      <c r="H505" s="10">
        <v>43357</v>
      </c>
      <c r="I505" s="8" t="s">
        <v>1070</v>
      </c>
      <c r="J505" s="8" t="str">
        <f>"North Western, Kasempa"</f>
        <v>North Western, Kasempa</v>
      </c>
    </row>
    <row r="506" spans="1:10" x14ac:dyDescent="0.2">
      <c r="A506" s="1" t="str">
        <f>"8161-HQ-SML"</f>
        <v>8161-HQ-SML</v>
      </c>
      <c r="B506" s="5" t="s">
        <v>1071</v>
      </c>
      <c r="C506" s="5" t="s">
        <v>11</v>
      </c>
      <c r="D506" s="5" t="s">
        <v>541</v>
      </c>
      <c r="E506" s="5" t="s">
        <v>72</v>
      </c>
      <c r="F506" s="6">
        <v>37932</v>
      </c>
      <c r="G506" s="7">
        <v>39179</v>
      </c>
      <c r="H506" s="7">
        <v>42831</v>
      </c>
      <c r="I506" s="5" t="s">
        <v>1072</v>
      </c>
      <c r="J506" s="5" t="str">
        <f>"Lusaka, Kafue"</f>
        <v>Lusaka, Kafue</v>
      </c>
    </row>
    <row r="507" spans="1:10" x14ac:dyDescent="0.2">
      <c r="A507" s="2" t="str">
        <f>"8167-HQ-SML"</f>
        <v>8167-HQ-SML</v>
      </c>
      <c r="B507" s="8" t="s">
        <v>1073</v>
      </c>
      <c r="C507" s="8" t="s">
        <v>11</v>
      </c>
      <c r="D507" s="8" t="s">
        <v>541</v>
      </c>
      <c r="E507" s="8" t="s">
        <v>13</v>
      </c>
      <c r="F507" s="9">
        <v>38033.430555555555</v>
      </c>
      <c r="G507" s="10">
        <v>38271</v>
      </c>
      <c r="H507" s="10">
        <v>43006</v>
      </c>
      <c r="I507" s="8" t="s">
        <v>1074</v>
      </c>
      <c r="J507" s="8" t="str">
        <f>"Lusaka, Kafue"</f>
        <v>Lusaka, Kafue</v>
      </c>
    </row>
    <row r="508" spans="1:10" x14ac:dyDescent="0.2">
      <c r="A508" s="1" t="str">
        <f>"8194-HQ-LEL"</f>
        <v>8194-HQ-LEL</v>
      </c>
      <c r="B508" s="5" t="s">
        <v>1075</v>
      </c>
      <c r="C508" s="5" t="s">
        <v>15</v>
      </c>
      <c r="D508" s="5" t="s">
        <v>1076</v>
      </c>
      <c r="E508" s="5" t="s">
        <v>72</v>
      </c>
      <c r="F508" s="6">
        <v>38141</v>
      </c>
      <c r="G508" s="7">
        <v>38229</v>
      </c>
      <c r="H508" s="7">
        <v>43341</v>
      </c>
      <c r="I508" s="5" t="s">
        <v>1077</v>
      </c>
      <c r="J508" s="5" t="str">
        <f>"Copperbelt, Chingola; North Western, Solwezi"</f>
        <v>Copperbelt, Chingola; North Western, Solwezi</v>
      </c>
    </row>
    <row r="509" spans="1:10" x14ac:dyDescent="0.2">
      <c r="A509" s="2" t="str">
        <f>"8219-HQ-SML"</f>
        <v>8219-HQ-SML</v>
      </c>
      <c r="B509" s="8" t="s">
        <v>1078</v>
      </c>
      <c r="C509" s="8" t="s">
        <v>11</v>
      </c>
      <c r="D509" s="8" t="s">
        <v>51</v>
      </c>
      <c r="E509" s="8" t="s">
        <v>13</v>
      </c>
      <c r="F509" s="9">
        <v>38294.40625</v>
      </c>
      <c r="G509" s="10">
        <v>38364</v>
      </c>
      <c r="H509" s="10">
        <v>43006</v>
      </c>
      <c r="I509" s="8" t="s">
        <v>1079</v>
      </c>
      <c r="J509" s="8" t="str">
        <f>"North Western, Kasempa"</f>
        <v>North Western, Kasempa</v>
      </c>
    </row>
    <row r="510" spans="1:10" x14ac:dyDescent="0.2">
      <c r="A510" s="1" t="str">
        <f>"8222-HQ-SML"</f>
        <v>8222-HQ-SML</v>
      </c>
      <c r="B510" s="5" t="s">
        <v>1080</v>
      </c>
      <c r="C510" s="5" t="s">
        <v>11</v>
      </c>
      <c r="D510" s="5" t="s">
        <v>51</v>
      </c>
      <c r="E510" s="5" t="s">
        <v>55</v>
      </c>
      <c r="F510" s="6">
        <v>38135</v>
      </c>
      <c r="G510" s="7">
        <v>38373</v>
      </c>
      <c r="H510" s="7">
        <v>43006</v>
      </c>
      <c r="I510" s="5" t="s">
        <v>1081</v>
      </c>
      <c r="J510" s="5" t="str">
        <f>"Copperbelt, Chingola"</f>
        <v>Copperbelt, Chingola</v>
      </c>
    </row>
    <row r="511" spans="1:10" x14ac:dyDescent="0.2">
      <c r="A511" s="2" t="str">
        <f>"8241-HQ-SPP"</f>
        <v>8241-HQ-SPP</v>
      </c>
      <c r="B511" s="8" t="s">
        <v>1082</v>
      </c>
      <c r="C511" s="8" t="s">
        <v>11</v>
      </c>
      <c r="D511" s="8" t="s">
        <v>51</v>
      </c>
      <c r="E511" s="8" t="s">
        <v>72</v>
      </c>
      <c r="F511" s="9">
        <v>38460.670138888891</v>
      </c>
      <c r="G511" s="10">
        <v>39715</v>
      </c>
      <c r="H511" s="10">
        <v>43366</v>
      </c>
      <c r="I511" s="8" t="s">
        <v>1083</v>
      </c>
      <c r="J511" s="8" t="str">
        <f>"North Western, Mufumbwe"</f>
        <v>North Western, Mufumbwe</v>
      </c>
    </row>
    <row r="512" spans="1:10" x14ac:dyDescent="0.2">
      <c r="A512" s="1" t="str">
        <f>"8320-HQ-SML"</f>
        <v>8320-HQ-SML</v>
      </c>
      <c r="B512" s="5" t="s">
        <v>1084</v>
      </c>
      <c r="C512" s="5" t="s">
        <v>11</v>
      </c>
      <c r="D512" s="5" t="s">
        <v>51</v>
      </c>
      <c r="E512" s="5" t="s">
        <v>72</v>
      </c>
      <c r="F512" s="6">
        <v>38909.583333333336</v>
      </c>
      <c r="G512" s="7">
        <v>39393</v>
      </c>
      <c r="H512" s="7">
        <v>43045</v>
      </c>
      <c r="I512" s="5" t="s">
        <v>1085</v>
      </c>
      <c r="J512" s="5" t="str">
        <f>"Central, Mumbwa, Kakuyu"</f>
        <v>Central, Mumbwa, Kakuyu</v>
      </c>
    </row>
    <row r="513" spans="1:10" x14ac:dyDescent="0.2">
      <c r="A513" s="2" t="str">
        <f>"8337-HQ-SML"</f>
        <v>8337-HQ-SML</v>
      </c>
      <c r="B513" s="8" t="s">
        <v>1086</v>
      </c>
      <c r="C513" s="8" t="s">
        <v>11</v>
      </c>
      <c r="D513" s="8" t="s">
        <v>58</v>
      </c>
      <c r="E513" s="8" t="s">
        <v>13</v>
      </c>
      <c r="F513" s="9">
        <v>38924.693749999999</v>
      </c>
      <c r="G513" s="10">
        <v>39393</v>
      </c>
      <c r="H513" s="10">
        <v>43045</v>
      </c>
      <c r="I513" s="8" t="s">
        <v>1087</v>
      </c>
      <c r="J513" s="8" t="str">
        <f>"Copperbelt, Masaiti"</f>
        <v>Copperbelt, Masaiti</v>
      </c>
    </row>
    <row r="514" spans="1:10" x14ac:dyDescent="0.2">
      <c r="A514" s="1" t="str">
        <f>"8370-HQ-SML"</f>
        <v>8370-HQ-SML</v>
      </c>
      <c r="B514" s="5" t="s">
        <v>1088</v>
      </c>
      <c r="C514" s="5" t="s">
        <v>11</v>
      </c>
      <c r="D514" s="5" t="s">
        <v>51</v>
      </c>
      <c r="E514" s="5" t="s">
        <v>13</v>
      </c>
      <c r="F514" s="6">
        <v>38628.490972222222</v>
      </c>
      <c r="G514" s="7">
        <v>38926</v>
      </c>
      <c r="H514" s="7">
        <v>43006</v>
      </c>
      <c r="I514" s="5" t="s">
        <v>1089</v>
      </c>
      <c r="J514" s="5" t="str">
        <f>"North Western, Mufumbwe"</f>
        <v>North Western, Mufumbwe</v>
      </c>
    </row>
    <row r="515" spans="1:10" x14ac:dyDescent="0.2">
      <c r="A515" s="2" t="str">
        <f>"8427-HQ-SML"</f>
        <v>8427-HQ-SML</v>
      </c>
      <c r="B515" s="8" t="s">
        <v>1090</v>
      </c>
      <c r="C515" s="8" t="s">
        <v>11</v>
      </c>
      <c r="D515" s="8" t="s">
        <v>58</v>
      </c>
      <c r="E515" s="8" t="s">
        <v>72</v>
      </c>
      <c r="F515" s="9">
        <v>39040.624328703707</v>
      </c>
      <c r="G515" s="10">
        <v>39142</v>
      </c>
      <c r="H515" s="10">
        <v>42794</v>
      </c>
      <c r="I515" s="8" t="s">
        <v>1091</v>
      </c>
      <c r="J515" s="8" t="str">
        <f>"North Western, Solwezi, Mutanda"</f>
        <v>North Western, Solwezi, Mutanda</v>
      </c>
    </row>
    <row r="516" spans="1:10" x14ac:dyDescent="0.2">
      <c r="A516" s="1" t="str">
        <f>"8428-HQ-SML"</f>
        <v>8428-HQ-SML</v>
      </c>
      <c r="B516" s="5" t="s">
        <v>1092</v>
      </c>
      <c r="C516" s="5" t="s">
        <v>11</v>
      </c>
      <c r="D516" s="5" t="s">
        <v>58</v>
      </c>
      <c r="E516" s="5" t="s">
        <v>13</v>
      </c>
      <c r="F516" s="6">
        <v>39892.67291666667</v>
      </c>
      <c r="G516" s="7">
        <v>39142</v>
      </c>
      <c r="H516" s="7">
        <v>42794</v>
      </c>
      <c r="I516" s="5" t="s">
        <v>1093</v>
      </c>
      <c r="J516" s="5" t="str">
        <f>"North Western, Solwezi, Mutanda"</f>
        <v>North Western, Solwezi, Mutanda</v>
      </c>
    </row>
    <row r="517" spans="1:10" x14ac:dyDescent="0.2">
      <c r="A517" s="2" t="str">
        <f>"8429-HQ-SML"</f>
        <v>8429-HQ-SML</v>
      </c>
      <c r="B517" s="8" t="s">
        <v>1094</v>
      </c>
      <c r="C517" s="8" t="s">
        <v>11</v>
      </c>
      <c r="D517" s="8" t="s">
        <v>102</v>
      </c>
      <c r="E517" s="8" t="s">
        <v>13</v>
      </c>
      <c r="F517" s="9">
        <v>39923.679166666669</v>
      </c>
      <c r="G517" s="10">
        <v>39142</v>
      </c>
      <c r="H517" s="10">
        <v>42794</v>
      </c>
      <c r="I517" s="8" t="s">
        <v>1095</v>
      </c>
      <c r="J517" s="8" t="str">
        <f>"North Western, Solwezi, Mutanda"</f>
        <v>North Western, Solwezi, Mutanda</v>
      </c>
    </row>
    <row r="518" spans="1:10" x14ac:dyDescent="0.2">
      <c r="A518" s="1" t="str">
        <f>"8431-HQ-SML"</f>
        <v>8431-HQ-SML</v>
      </c>
      <c r="B518" s="5" t="s">
        <v>1096</v>
      </c>
      <c r="C518" s="5" t="s">
        <v>11</v>
      </c>
      <c r="D518" s="5" t="s">
        <v>1097</v>
      </c>
      <c r="E518" s="5" t="s">
        <v>489</v>
      </c>
      <c r="F518" s="6">
        <v>39258.697916666664</v>
      </c>
      <c r="G518" s="7">
        <v>39295</v>
      </c>
      <c r="H518" s="7">
        <v>42947</v>
      </c>
      <c r="I518" s="5" t="s">
        <v>1098</v>
      </c>
      <c r="J518" s="5" t="str">
        <f>"Central, Mumbwa"</f>
        <v>Central, Mumbwa</v>
      </c>
    </row>
    <row r="519" spans="1:10" x14ac:dyDescent="0.2">
      <c r="A519" s="2" t="str">
        <f>"8433-HQ-SML"</f>
        <v>8433-HQ-SML</v>
      </c>
      <c r="B519" s="8" t="s">
        <v>1099</v>
      </c>
      <c r="C519" s="8" t="s">
        <v>11</v>
      </c>
      <c r="D519" s="8" t="s">
        <v>1100</v>
      </c>
      <c r="E519" s="8" t="s">
        <v>72</v>
      </c>
      <c r="F519" s="9">
        <v>39066.431250000001</v>
      </c>
      <c r="G519" s="10">
        <v>39163</v>
      </c>
      <c r="H519" s="10">
        <v>42815</v>
      </c>
      <c r="I519" s="8" t="s">
        <v>1101</v>
      </c>
      <c r="J519" s="8" t="str">
        <f>"Northern, Mbala"</f>
        <v>Northern, Mbala</v>
      </c>
    </row>
    <row r="520" spans="1:10" x14ac:dyDescent="0.2">
      <c r="A520" s="1" t="str">
        <f>"8444-HQ-SML"</f>
        <v>8444-HQ-SML</v>
      </c>
      <c r="B520" s="5" t="s">
        <v>1102</v>
      </c>
      <c r="C520" s="5" t="s">
        <v>11</v>
      </c>
      <c r="D520" s="5"/>
      <c r="E520" s="5" t="s">
        <v>72</v>
      </c>
      <c r="F520" s="6">
        <v>38929.701388888891</v>
      </c>
      <c r="G520" s="7">
        <v>39108</v>
      </c>
      <c r="H520" s="7">
        <v>42760</v>
      </c>
      <c r="I520" s="5" t="s">
        <v>1103</v>
      </c>
      <c r="J520" s="5" t="str">
        <f>"North Western, Mufumbwe, Kayefu"</f>
        <v>North Western, Mufumbwe, Kayefu</v>
      </c>
    </row>
    <row r="521" spans="1:10" x14ac:dyDescent="0.2">
      <c r="A521" s="2" t="str">
        <f>"8446-HQ-SML"</f>
        <v>8446-HQ-SML</v>
      </c>
      <c r="B521" s="8" t="s">
        <v>1104</v>
      </c>
      <c r="C521" s="8" t="s">
        <v>11</v>
      </c>
      <c r="D521" s="8" t="s">
        <v>1105</v>
      </c>
      <c r="E521" s="8" t="s">
        <v>72</v>
      </c>
      <c r="F521" s="9">
        <v>39091.431944444441</v>
      </c>
      <c r="G521" s="10">
        <v>39112</v>
      </c>
      <c r="H521" s="10">
        <v>42764</v>
      </c>
      <c r="I521" s="8" t="s">
        <v>1106</v>
      </c>
      <c r="J521" s="8" t="str">
        <f>"Copperbelt, Luanshya"</f>
        <v>Copperbelt, Luanshya</v>
      </c>
    </row>
    <row r="522" spans="1:10" x14ac:dyDescent="0.2">
      <c r="A522" s="1" t="str">
        <f>"8461-HQ-SML"</f>
        <v>8461-HQ-SML</v>
      </c>
      <c r="B522" s="5" t="s">
        <v>1107</v>
      </c>
      <c r="C522" s="5" t="s">
        <v>11</v>
      </c>
      <c r="D522" s="5" t="s">
        <v>1108</v>
      </c>
      <c r="E522" s="5" t="s">
        <v>72</v>
      </c>
      <c r="F522" s="6">
        <v>39118.472916666666</v>
      </c>
      <c r="G522" s="7">
        <v>39139</v>
      </c>
      <c r="H522" s="7">
        <v>42791</v>
      </c>
      <c r="I522" s="5" t="s">
        <v>1109</v>
      </c>
      <c r="J522" s="5" t="str">
        <f>"Central, Mumbwa"</f>
        <v>Central, Mumbwa</v>
      </c>
    </row>
    <row r="523" spans="1:10" x14ac:dyDescent="0.2">
      <c r="A523" s="2" t="str">
        <f>"8462-HQ-SML"</f>
        <v>8462-HQ-SML</v>
      </c>
      <c r="B523" s="8" t="s">
        <v>1110</v>
      </c>
      <c r="C523" s="8" t="s">
        <v>11</v>
      </c>
      <c r="D523" s="8" t="s">
        <v>848</v>
      </c>
      <c r="E523" s="8" t="s">
        <v>72</v>
      </c>
      <c r="F523" s="9">
        <v>39098.534722222219</v>
      </c>
      <c r="G523" s="10">
        <v>39135</v>
      </c>
      <c r="H523" s="10">
        <v>42787</v>
      </c>
      <c r="I523" s="8" t="s">
        <v>1111</v>
      </c>
      <c r="J523" s="8" t="str">
        <f>"Copperbelt, Lufwanyama, Chief Nkana"</f>
        <v>Copperbelt, Lufwanyama, Chief Nkana</v>
      </c>
    </row>
    <row r="524" spans="1:10" x14ac:dyDescent="0.2">
      <c r="A524" s="1" t="str">
        <f>"8463-HQ-SML"</f>
        <v>8463-HQ-SML</v>
      </c>
      <c r="B524" s="5" t="s">
        <v>1110</v>
      </c>
      <c r="C524" s="5" t="s">
        <v>11</v>
      </c>
      <c r="D524" s="5" t="s">
        <v>848</v>
      </c>
      <c r="E524" s="5" t="s">
        <v>72</v>
      </c>
      <c r="F524" s="6">
        <v>39098.534722222219</v>
      </c>
      <c r="G524" s="7">
        <v>39135</v>
      </c>
      <c r="H524" s="7">
        <v>42787</v>
      </c>
      <c r="I524" s="5" t="s">
        <v>1112</v>
      </c>
      <c r="J524" s="5" t="str">
        <f>"Copperbelt, Lufwanyama, Chief Nkana"</f>
        <v>Copperbelt, Lufwanyama, Chief Nkana</v>
      </c>
    </row>
    <row r="525" spans="1:10" x14ac:dyDescent="0.2">
      <c r="A525" s="2" t="str">
        <f>"8465-HQ-SML"</f>
        <v>8465-HQ-SML</v>
      </c>
      <c r="B525" s="8" t="s">
        <v>1113</v>
      </c>
      <c r="C525" s="8" t="s">
        <v>11</v>
      </c>
      <c r="D525" s="8" t="s">
        <v>813</v>
      </c>
      <c r="E525" s="8" t="s">
        <v>72</v>
      </c>
      <c r="F525" s="9">
        <v>39024.512499999997</v>
      </c>
      <c r="G525" s="10">
        <v>39141</v>
      </c>
      <c r="H525" s="10">
        <v>42793</v>
      </c>
      <c r="I525" s="8" t="s">
        <v>1114</v>
      </c>
      <c r="J525" s="8" t="str">
        <f>"Copperbelt, Kalulushi"</f>
        <v>Copperbelt, Kalulushi</v>
      </c>
    </row>
    <row r="526" spans="1:10" x14ac:dyDescent="0.2">
      <c r="A526" s="1" t="str">
        <f>"8466-HQ-SML"</f>
        <v>8466-HQ-SML</v>
      </c>
      <c r="B526" s="5" t="s">
        <v>1115</v>
      </c>
      <c r="C526" s="5" t="s">
        <v>11</v>
      </c>
      <c r="D526" s="5" t="s">
        <v>38</v>
      </c>
      <c r="E526" s="5" t="s">
        <v>13</v>
      </c>
      <c r="F526" s="6">
        <v>39038.524305555555</v>
      </c>
      <c r="G526" s="7">
        <v>39141</v>
      </c>
      <c r="H526" s="7">
        <v>42793</v>
      </c>
      <c r="I526" s="5" t="s">
        <v>1116</v>
      </c>
      <c r="J526" s="5" t="str">
        <f>"Southern, Sinazongwe"</f>
        <v>Southern, Sinazongwe</v>
      </c>
    </row>
    <row r="527" spans="1:10" x14ac:dyDescent="0.2">
      <c r="A527" s="2" t="str">
        <f>"8469-HQ-SML"</f>
        <v>8469-HQ-SML</v>
      </c>
      <c r="B527" s="8" t="s">
        <v>1117</v>
      </c>
      <c r="C527" s="8" t="s">
        <v>11</v>
      </c>
      <c r="D527" s="8" t="s">
        <v>97</v>
      </c>
      <c r="E527" s="8" t="s">
        <v>72</v>
      </c>
      <c r="F527" s="9">
        <v>39204.400694444441</v>
      </c>
      <c r="G527" s="10">
        <v>39225</v>
      </c>
      <c r="H527" s="10">
        <v>42877</v>
      </c>
      <c r="I527" s="8" t="s">
        <v>1118</v>
      </c>
      <c r="J527" s="8" t="str">
        <f>"Central, Kabwe"</f>
        <v>Central, Kabwe</v>
      </c>
    </row>
    <row r="528" spans="1:10" x14ac:dyDescent="0.2">
      <c r="A528" s="1" t="str">
        <f>"8470-HQ-SML"</f>
        <v>8470-HQ-SML</v>
      </c>
      <c r="B528" s="5" t="s">
        <v>1119</v>
      </c>
      <c r="C528" s="5" t="s">
        <v>11</v>
      </c>
      <c r="D528" s="5" t="s">
        <v>541</v>
      </c>
      <c r="E528" s="5" t="s">
        <v>72</v>
      </c>
      <c r="F528" s="6">
        <v>39332.475694444445</v>
      </c>
      <c r="G528" s="7">
        <v>39155</v>
      </c>
      <c r="H528" s="7">
        <v>42807</v>
      </c>
      <c r="I528" s="5" t="s">
        <v>1120</v>
      </c>
      <c r="J528" s="5" t="str">
        <f>"Central, Mkushi, Munsakamba"</f>
        <v>Central, Mkushi, Munsakamba</v>
      </c>
    </row>
    <row r="529" spans="1:10" x14ac:dyDescent="0.2">
      <c r="A529" s="2" t="str">
        <f>"8471-HQ-SML"</f>
        <v>8471-HQ-SML</v>
      </c>
      <c r="B529" s="8" t="s">
        <v>402</v>
      </c>
      <c r="C529" s="8" t="s">
        <v>11</v>
      </c>
      <c r="D529" s="8" t="s">
        <v>308</v>
      </c>
      <c r="E529" s="8" t="s">
        <v>72</v>
      </c>
      <c r="F529" s="9">
        <v>39055.681944444441</v>
      </c>
      <c r="G529" s="10">
        <v>39157</v>
      </c>
      <c r="H529" s="10">
        <v>42809</v>
      </c>
      <c r="I529" s="8" t="s">
        <v>1121</v>
      </c>
      <c r="J529" s="8" t="str">
        <f>"Lusaka, Chongwe"</f>
        <v>Lusaka, Chongwe</v>
      </c>
    </row>
    <row r="530" spans="1:10" x14ac:dyDescent="0.2">
      <c r="A530" s="1" t="str">
        <f>"8472-HQ-SML"</f>
        <v>8472-HQ-SML</v>
      </c>
      <c r="B530" s="5" t="s">
        <v>402</v>
      </c>
      <c r="C530" s="5" t="s">
        <v>11</v>
      </c>
      <c r="D530" s="5" t="s">
        <v>813</v>
      </c>
      <c r="E530" s="5" t="s">
        <v>72</v>
      </c>
      <c r="F530" s="6">
        <v>39055.697222222225</v>
      </c>
      <c r="G530" s="7">
        <v>39157</v>
      </c>
      <c r="H530" s="7">
        <v>42809</v>
      </c>
      <c r="I530" s="5" t="s">
        <v>1122</v>
      </c>
      <c r="J530" s="5" t="str">
        <f>"Lusaka, Chongwe"</f>
        <v>Lusaka, Chongwe</v>
      </c>
    </row>
    <row r="531" spans="1:10" x14ac:dyDescent="0.2">
      <c r="A531" s="2" t="str">
        <f>"8473-HQ-SML"</f>
        <v>8473-HQ-SML</v>
      </c>
      <c r="B531" s="8" t="s">
        <v>1123</v>
      </c>
      <c r="C531" s="8" t="s">
        <v>11</v>
      </c>
      <c r="D531" s="8" t="s">
        <v>102</v>
      </c>
      <c r="E531" s="8" t="s">
        <v>72</v>
      </c>
      <c r="F531" s="9">
        <v>39122.395833333336</v>
      </c>
      <c r="G531" s="10">
        <v>39164</v>
      </c>
      <c r="H531" s="10">
        <v>42816</v>
      </c>
      <c r="I531" s="8" t="s">
        <v>1124</v>
      </c>
      <c r="J531" s="8" t="str">
        <f>"Southern, Livingstone, Sinde"</f>
        <v>Southern, Livingstone, Sinde</v>
      </c>
    </row>
    <row r="532" spans="1:10" x14ac:dyDescent="0.2">
      <c r="A532" s="1" t="str">
        <f>"8475-HQ-SML"</f>
        <v>8475-HQ-SML</v>
      </c>
      <c r="B532" s="5" t="s">
        <v>1125</v>
      </c>
      <c r="C532" s="5" t="s">
        <v>11</v>
      </c>
      <c r="D532" s="5" t="s">
        <v>51</v>
      </c>
      <c r="E532" s="5" t="s">
        <v>72</v>
      </c>
      <c r="F532" s="6">
        <v>39149.668483796297</v>
      </c>
      <c r="G532" s="7">
        <v>39164</v>
      </c>
      <c r="H532" s="7">
        <v>42816</v>
      </c>
      <c r="I532" s="5" t="s">
        <v>1126</v>
      </c>
      <c r="J532" s="5" t="str">
        <f>"North Western, Mwinilunga"</f>
        <v>North Western, Mwinilunga</v>
      </c>
    </row>
    <row r="533" spans="1:10" x14ac:dyDescent="0.2">
      <c r="A533" s="2" t="str">
        <f>"8476-HQ-SML"</f>
        <v>8476-HQ-SML</v>
      </c>
      <c r="B533" s="8" t="s">
        <v>1127</v>
      </c>
      <c r="C533" s="8" t="s">
        <v>11</v>
      </c>
      <c r="D533" s="8" t="s">
        <v>51</v>
      </c>
      <c r="E533" s="8" t="s">
        <v>13</v>
      </c>
      <c r="F533" s="9">
        <v>39149.476388888892</v>
      </c>
      <c r="G533" s="10">
        <v>39164</v>
      </c>
      <c r="H533" s="10">
        <v>42816</v>
      </c>
      <c r="I533" s="8" t="s">
        <v>1128</v>
      </c>
      <c r="J533" s="8" t="str">
        <f>"North Western, Mwinilunga"</f>
        <v>North Western, Mwinilunga</v>
      </c>
    </row>
    <row r="534" spans="1:10" x14ac:dyDescent="0.2">
      <c r="A534" s="1" t="str">
        <f>"8477-HQ-SML"</f>
        <v>8477-HQ-SML</v>
      </c>
      <c r="B534" s="5" t="s">
        <v>1107</v>
      </c>
      <c r="C534" s="5" t="s">
        <v>11</v>
      </c>
      <c r="D534" s="5" t="s">
        <v>1129</v>
      </c>
      <c r="E534" s="5" t="s">
        <v>72</v>
      </c>
      <c r="F534" s="6">
        <v>39118.39166666667</v>
      </c>
      <c r="G534" s="7">
        <v>39164</v>
      </c>
      <c r="H534" s="7">
        <v>42816</v>
      </c>
      <c r="I534" s="5" t="s">
        <v>1130</v>
      </c>
      <c r="J534" s="5" t="str">
        <f>"Central, Kapiri Mposhi, Mukonchi"</f>
        <v>Central, Kapiri Mposhi, Mukonchi</v>
      </c>
    </row>
    <row r="535" spans="1:10" x14ac:dyDescent="0.2">
      <c r="A535" s="2" t="str">
        <f>"8479-HQ-SML"</f>
        <v>8479-HQ-SML</v>
      </c>
      <c r="B535" s="8" t="s">
        <v>1131</v>
      </c>
      <c r="C535" s="8" t="s">
        <v>11</v>
      </c>
      <c r="D535" s="8" t="s">
        <v>51</v>
      </c>
      <c r="E535" s="8" t="s">
        <v>13</v>
      </c>
      <c r="F535" s="9">
        <v>38049.416666666664</v>
      </c>
      <c r="G535" s="10">
        <v>39190</v>
      </c>
      <c r="H535" s="10">
        <v>42842</v>
      </c>
      <c r="I535" s="8" t="s">
        <v>1132</v>
      </c>
      <c r="J535" s="8" t="str">
        <f>"North Western, Mufumbwe"</f>
        <v>North Western, Mufumbwe</v>
      </c>
    </row>
    <row r="536" spans="1:10" x14ac:dyDescent="0.2">
      <c r="A536" s="1" t="str">
        <f>"8480-HQ-LEL"</f>
        <v>8480-HQ-LEL</v>
      </c>
      <c r="B536" s="5" t="s">
        <v>982</v>
      </c>
      <c r="C536" s="5" t="s">
        <v>15</v>
      </c>
      <c r="D536" s="5" t="s">
        <v>51</v>
      </c>
      <c r="E536" s="5" t="s">
        <v>489</v>
      </c>
      <c r="F536" s="6">
        <v>39000.395138888889</v>
      </c>
      <c r="G536" s="7">
        <v>41366</v>
      </c>
      <c r="H536" s="7">
        <v>42826</v>
      </c>
      <c r="I536" s="5" t="s">
        <v>1133</v>
      </c>
      <c r="J536" s="5" t="str">
        <f>"North Western, Solwezi"</f>
        <v>North Western, Solwezi</v>
      </c>
    </row>
    <row r="537" spans="1:10" x14ac:dyDescent="0.2">
      <c r="A537" s="2" t="str">
        <f>"8487-HQ-SML"</f>
        <v>8487-HQ-SML</v>
      </c>
      <c r="B537" s="8" t="s">
        <v>1134</v>
      </c>
      <c r="C537" s="8" t="s">
        <v>11</v>
      </c>
      <c r="D537" s="8" t="s">
        <v>45</v>
      </c>
      <c r="E537" s="8" t="s">
        <v>13</v>
      </c>
      <c r="F537" s="9">
        <v>39149.63958333333</v>
      </c>
      <c r="G537" s="10">
        <v>39394</v>
      </c>
      <c r="H537" s="10">
        <v>43046</v>
      </c>
      <c r="I537" s="8" t="s">
        <v>1135</v>
      </c>
      <c r="J537" s="8" t="str">
        <f>"North Western, Solwezi"</f>
        <v>North Western, Solwezi</v>
      </c>
    </row>
    <row r="538" spans="1:10" x14ac:dyDescent="0.2">
      <c r="A538" s="1" t="str">
        <f>"8488-HQ-SML"</f>
        <v>8488-HQ-SML</v>
      </c>
      <c r="B538" s="5" t="s">
        <v>1115</v>
      </c>
      <c r="C538" s="5" t="s">
        <v>11</v>
      </c>
      <c r="D538" s="5" t="s">
        <v>51</v>
      </c>
      <c r="E538" s="5" t="s">
        <v>72</v>
      </c>
      <c r="F538" s="6">
        <v>39066.488194444442</v>
      </c>
      <c r="G538" s="7">
        <v>39329</v>
      </c>
      <c r="H538" s="7">
        <v>42981</v>
      </c>
      <c r="I538" s="5" t="s">
        <v>1136</v>
      </c>
      <c r="J538" s="5" t="str">
        <f>"Lusaka, Chongwe, Rufunsa"</f>
        <v>Lusaka, Chongwe, Rufunsa</v>
      </c>
    </row>
    <row r="539" spans="1:10" x14ac:dyDescent="0.2">
      <c r="A539" s="2" t="str">
        <f>"8489-HQ-SML"</f>
        <v>8489-HQ-SML</v>
      </c>
      <c r="B539" s="8" t="s">
        <v>1115</v>
      </c>
      <c r="C539" s="8" t="s">
        <v>11</v>
      </c>
      <c r="D539" s="8" t="s">
        <v>167</v>
      </c>
      <c r="E539" s="8" t="s">
        <v>13</v>
      </c>
      <c r="F539" s="9">
        <v>39066.48541666667</v>
      </c>
      <c r="G539" s="10">
        <v>39329</v>
      </c>
      <c r="H539" s="10">
        <v>42981</v>
      </c>
      <c r="I539" s="8" t="s">
        <v>1137</v>
      </c>
      <c r="J539" s="8" t="str">
        <f>"Lusaka, Chongwe, Luangwa"</f>
        <v>Lusaka, Chongwe, Luangwa</v>
      </c>
    </row>
    <row r="540" spans="1:10" x14ac:dyDescent="0.2">
      <c r="A540" s="1" t="str">
        <f>"8501-HQ-SML"</f>
        <v>8501-HQ-SML</v>
      </c>
      <c r="B540" s="5" t="s">
        <v>1138</v>
      </c>
      <c r="C540" s="5" t="s">
        <v>11</v>
      </c>
      <c r="D540" s="5" t="s">
        <v>167</v>
      </c>
      <c r="E540" s="5" t="s">
        <v>13</v>
      </c>
      <c r="F540" s="6">
        <v>39043.606944444444</v>
      </c>
      <c r="G540" s="7">
        <v>39087</v>
      </c>
      <c r="H540" s="7">
        <v>43024</v>
      </c>
      <c r="I540" s="5" t="s">
        <v>1139</v>
      </c>
      <c r="J540" s="5" t="str">
        <f>"Central, Kapiri Mposhi, Kampumba"</f>
        <v>Central, Kapiri Mposhi, Kampumba</v>
      </c>
    </row>
    <row r="541" spans="1:10" x14ac:dyDescent="0.2">
      <c r="A541" s="2" t="str">
        <f>"8507-HQ-SML"</f>
        <v>8507-HQ-SML</v>
      </c>
      <c r="B541" s="8" t="s">
        <v>1140</v>
      </c>
      <c r="C541" s="8" t="s">
        <v>11</v>
      </c>
      <c r="D541" s="8" t="s">
        <v>1141</v>
      </c>
      <c r="E541" s="8" t="s">
        <v>72</v>
      </c>
      <c r="F541" s="9">
        <v>38973.665277777778</v>
      </c>
      <c r="G541" s="10">
        <v>39118</v>
      </c>
      <c r="H541" s="10">
        <v>42770</v>
      </c>
      <c r="I541" s="8" t="s">
        <v>1142</v>
      </c>
      <c r="J541" s="8" t="str">
        <f>"Southern, Choma, Muzuma; Sinazongwe"</f>
        <v>Southern, Choma, Muzuma; Sinazongwe</v>
      </c>
    </row>
    <row r="542" spans="1:10" x14ac:dyDescent="0.2">
      <c r="A542" s="1" t="str">
        <f>"8510-HQ-SML"</f>
        <v>8510-HQ-SML</v>
      </c>
      <c r="B542" s="5" t="s">
        <v>1143</v>
      </c>
      <c r="C542" s="5" t="s">
        <v>11</v>
      </c>
      <c r="D542" s="5" t="s">
        <v>51</v>
      </c>
      <c r="E542" s="5" t="s">
        <v>72</v>
      </c>
      <c r="F542" s="6">
        <v>39136.416666666664</v>
      </c>
      <c r="G542" s="7">
        <v>39374</v>
      </c>
      <c r="H542" s="7">
        <v>43026</v>
      </c>
      <c r="I542" s="5" t="s">
        <v>1144</v>
      </c>
      <c r="J542" s="5" t="str">
        <f>"Copperbelt, Kitwe, Chambishi"</f>
        <v>Copperbelt, Kitwe, Chambishi</v>
      </c>
    </row>
    <row r="543" spans="1:10" x14ac:dyDescent="0.2">
      <c r="A543" s="2" t="str">
        <f>"8511-HQ-SML"</f>
        <v>8511-HQ-SML</v>
      </c>
      <c r="B543" s="8" t="s">
        <v>1145</v>
      </c>
      <c r="C543" s="8" t="s">
        <v>11</v>
      </c>
      <c r="D543" s="8" t="s">
        <v>167</v>
      </c>
      <c r="E543" s="8" t="s">
        <v>72</v>
      </c>
      <c r="F543" s="9">
        <v>39135.647222222222</v>
      </c>
      <c r="G543" s="10">
        <v>39231</v>
      </c>
      <c r="H543" s="10">
        <v>42883</v>
      </c>
      <c r="I543" s="8" t="s">
        <v>1146</v>
      </c>
      <c r="J543" s="8" t="str">
        <f>"Lusaka, Lusaka, Chongwe"</f>
        <v>Lusaka, Lusaka, Chongwe</v>
      </c>
    </row>
    <row r="544" spans="1:10" x14ac:dyDescent="0.2">
      <c r="A544" s="1" t="str">
        <f>"8512-HQ-SML"</f>
        <v>8512-HQ-SML</v>
      </c>
      <c r="B544" s="5" t="s">
        <v>1147</v>
      </c>
      <c r="C544" s="5" t="s">
        <v>11</v>
      </c>
      <c r="D544" s="5" t="s">
        <v>116</v>
      </c>
      <c r="E544" s="5" t="s">
        <v>55</v>
      </c>
      <c r="F544" s="6">
        <v>39169.605555555558</v>
      </c>
      <c r="G544" s="7">
        <v>39234</v>
      </c>
      <c r="H544" s="7">
        <v>42886</v>
      </c>
      <c r="I544" s="5" t="s">
        <v>1148</v>
      </c>
      <c r="J544" s="5" t="str">
        <f>"Copperbelt, Lufwanyama, Fimpampa"</f>
        <v>Copperbelt, Lufwanyama, Fimpampa</v>
      </c>
    </row>
    <row r="545" spans="1:10" x14ac:dyDescent="0.2">
      <c r="A545" s="2" t="str">
        <f>"8514-HQ-SML"</f>
        <v>8514-HQ-SML</v>
      </c>
      <c r="B545" s="8" t="s">
        <v>1149</v>
      </c>
      <c r="C545" s="8" t="s">
        <v>11</v>
      </c>
      <c r="D545" s="8" t="s">
        <v>51</v>
      </c>
      <c r="E545" s="8" t="s">
        <v>13</v>
      </c>
      <c r="F545" s="9">
        <v>39191.648611111108</v>
      </c>
      <c r="G545" s="10">
        <v>39239</v>
      </c>
      <c r="H545" s="10">
        <v>42891</v>
      </c>
      <c r="I545" s="8" t="s">
        <v>1150</v>
      </c>
      <c r="J545" s="8" t="str">
        <f>"Copperbelt, Chingola, Luano"</f>
        <v>Copperbelt, Chingola, Luano</v>
      </c>
    </row>
    <row r="546" spans="1:10" x14ac:dyDescent="0.2">
      <c r="A546" s="1" t="str">
        <f>"8515-HQ-SML"</f>
        <v>8515-HQ-SML</v>
      </c>
      <c r="B546" s="5" t="s">
        <v>36</v>
      </c>
      <c r="C546" s="5" t="s">
        <v>11</v>
      </c>
      <c r="D546" s="5" t="s">
        <v>38</v>
      </c>
      <c r="E546" s="5" t="s">
        <v>13</v>
      </c>
      <c r="F546" s="6">
        <v>39072.400000000001</v>
      </c>
      <c r="G546" s="7">
        <v>39119</v>
      </c>
      <c r="H546" s="7">
        <v>42771</v>
      </c>
      <c r="I546" s="5" t="s">
        <v>1151</v>
      </c>
      <c r="J546" s="5" t="str">
        <f>"Southern, Sinazongwe"</f>
        <v>Southern, Sinazongwe</v>
      </c>
    </row>
    <row r="547" spans="1:10" x14ac:dyDescent="0.2">
      <c r="A547" s="2" t="str">
        <f>"8516-HQ-SML"</f>
        <v>8516-HQ-SML</v>
      </c>
      <c r="B547" s="8" t="s">
        <v>1152</v>
      </c>
      <c r="C547" s="8" t="s">
        <v>11</v>
      </c>
      <c r="D547" s="8" t="s">
        <v>1153</v>
      </c>
      <c r="E547" s="8" t="s">
        <v>13</v>
      </c>
      <c r="F547" s="9">
        <v>39149.477777777778</v>
      </c>
      <c r="G547" s="10">
        <v>39248</v>
      </c>
      <c r="H547" s="10">
        <v>42900</v>
      </c>
      <c r="I547" s="8" t="s">
        <v>1154</v>
      </c>
      <c r="J547" s="8" t="str">
        <f>"Eastern, Petauke, Kuomboka"</f>
        <v>Eastern, Petauke, Kuomboka</v>
      </c>
    </row>
    <row r="548" spans="1:10" x14ac:dyDescent="0.2">
      <c r="A548" s="1" t="str">
        <f>"8518-HQ-SML"</f>
        <v>8518-HQ-SML</v>
      </c>
      <c r="B548" s="5" t="s">
        <v>1155</v>
      </c>
      <c r="C548" s="5" t="s">
        <v>11</v>
      </c>
      <c r="D548" s="5" t="s">
        <v>1156</v>
      </c>
      <c r="E548" s="5" t="s">
        <v>72</v>
      </c>
      <c r="F548" s="6">
        <v>39206.538194444445</v>
      </c>
      <c r="G548" s="7">
        <v>39248</v>
      </c>
      <c r="H548" s="7">
        <v>42900</v>
      </c>
      <c r="I548" s="5" t="s">
        <v>1157</v>
      </c>
      <c r="J548" s="5" t="str">
        <f>"Eastern, Petauke, Mudoza"</f>
        <v>Eastern, Petauke, Mudoza</v>
      </c>
    </row>
    <row r="549" spans="1:10" x14ac:dyDescent="0.2">
      <c r="A549" s="2" t="str">
        <f>"8520-HQ-SML"</f>
        <v>8520-HQ-SML</v>
      </c>
      <c r="B549" s="8" t="s">
        <v>1158</v>
      </c>
      <c r="C549" s="8" t="s">
        <v>11</v>
      </c>
      <c r="D549" s="8" t="s">
        <v>549</v>
      </c>
      <c r="E549" s="8" t="s">
        <v>72</v>
      </c>
      <c r="F549" s="9">
        <v>38944.48333333333</v>
      </c>
      <c r="G549" s="10">
        <v>39268</v>
      </c>
      <c r="H549" s="10">
        <v>42920</v>
      </c>
      <c r="I549" s="8" t="s">
        <v>1159</v>
      </c>
      <c r="J549" s="8" t="str">
        <f>"Central, Kabwe, Chowa South"</f>
        <v>Central, Kabwe, Chowa South</v>
      </c>
    </row>
    <row r="550" spans="1:10" x14ac:dyDescent="0.2">
      <c r="A550" s="1" t="str">
        <f>"8521-HQ-SML"</f>
        <v>8521-HQ-SML</v>
      </c>
      <c r="B550" s="5" t="s">
        <v>1158</v>
      </c>
      <c r="C550" s="5" t="s">
        <v>11</v>
      </c>
      <c r="D550" s="5" t="s">
        <v>1160</v>
      </c>
      <c r="E550" s="5" t="s">
        <v>13</v>
      </c>
      <c r="F550" s="6">
        <v>39128.474305555559</v>
      </c>
      <c r="G550" s="7">
        <v>39268</v>
      </c>
      <c r="H550" s="7">
        <v>42920</v>
      </c>
      <c r="I550" s="5" t="s">
        <v>1161</v>
      </c>
      <c r="J550" s="5" t="str">
        <f>"Central, Kabwe, Chowa South"</f>
        <v>Central, Kabwe, Chowa South</v>
      </c>
    </row>
    <row r="551" spans="1:10" x14ac:dyDescent="0.2">
      <c r="A551" s="2" t="str">
        <f>"8522-HQ-SML"</f>
        <v>8522-HQ-SML</v>
      </c>
      <c r="B551" s="8" t="s">
        <v>1162</v>
      </c>
      <c r="C551" s="8" t="s">
        <v>11</v>
      </c>
      <c r="D551" s="8" t="s">
        <v>1163</v>
      </c>
      <c r="E551" s="8" t="s">
        <v>72</v>
      </c>
      <c r="F551" s="9">
        <v>39132.375</v>
      </c>
      <c r="G551" s="10">
        <v>39423</v>
      </c>
      <c r="H551" s="10">
        <v>43075</v>
      </c>
      <c r="I551" s="8" t="s">
        <v>1164</v>
      </c>
      <c r="J551" s="8" t="str">
        <f>"Central, Mumbwa, Mumbwa"</f>
        <v>Central, Mumbwa, Mumbwa</v>
      </c>
    </row>
    <row r="552" spans="1:10" x14ac:dyDescent="0.2">
      <c r="A552" s="1" t="str">
        <f>"8523-HQ-SML"</f>
        <v>8523-HQ-SML</v>
      </c>
      <c r="B552" s="5" t="s">
        <v>1115</v>
      </c>
      <c r="C552" s="5" t="s">
        <v>11</v>
      </c>
      <c r="D552" s="5" t="s">
        <v>1165</v>
      </c>
      <c r="E552" s="5" t="s">
        <v>13</v>
      </c>
      <c r="F552" s="6">
        <v>39064.430914351855</v>
      </c>
      <c r="G552" s="7">
        <v>39332</v>
      </c>
      <c r="H552" s="7">
        <v>42984</v>
      </c>
      <c r="I552" s="5" t="s">
        <v>1166</v>
      </c>
      <c r="J552" s="5" t="str">
        <f>"Central, Kapiri Mposhi, Mkushi"</f>
        <v>Central, Kapiri Mposhi, Mkushi</v>
      </c>
    </row>
    <row r="553" spans="1:10" x14ac:dyDescent="0.2">
      <c r="A553" s="2" t="str">
        <f>"8526-HQ-SML"</f>
        <v>8526-HQ-SML</v>
      </c>
      <c r="B553" s="8" t="s">
        <v>1167</v>
      </c>
      <c r="C553" s="8" t="s">
        <v>11</v>
      </c>
      <c r="D553" s="8" t="s">
        <v>97</v>
      </c>
      <c r="E553" s="8" t="s">
        <v>72</v>
      </c>
      <c r="F553" s="9">
        <v>39237.4375</v>
      </c>
      <c r="G553" s="10">
        <v>39279</v>
      </c>
      <c r="H553" s="10">
        <v>42931</v>
      </c>
      <c r="I553" s="8" t="s">
        <v>1168</v>
      </c>
      <c r="J553" s="8" t="str">
        <f>"Lusaka, Kafue"</f>
        <v>Lusaka, Kafue</v>
      </c>
    </row>
    <row r="554" spans="1:10" x14ac:dyDescent="0.2">
      <c r="A554" s="1" t="str">
        <f>"8534-HQ-SML"</f>
        <v>8534-HQ-SML</v>
      </c>
      <c r="B554" s="5" t="s">
        <v>1096</v>
      </c>
      <c r="C554" s="5" t="s">
        <v>11</v>
      </c>
      <c r="D554" s="5" t="s">
        <v>1169</v>
      </c>
      <c r="E554" s="5" t="s">
        <v>72</v>
      </c>
      <c r="F554" s="6">
        <v>39259.416666666664</v>
      </c>
      <c r="G554" s="7">
        <v>39290</v>
      </c>
      <c r="H554" s="7">
        <v>42942</v>
      </c>
      <c r="I554" s="5" t="s">
        <v>1170</v>
      </c>
      <c r="J554" s="5" t="str">
        <f>"Central, Mumbwa"</f>
        <v>Central, Mumbwa</v>
      </c>
    </row>
    <row r="555" spans="1:10" x14ac:dyDescent="0.2">
      <c r="A555" s="2" t="str">
        <f>"8535-HQ-SML"</f>
        <v>8535-HQ-SML</v>
      </c>
      <c r="B555" s="8" t="s">
        <v>1096</v>
      </c>
      <c r="C555" s="8" t="s">
        <v>11</v>
      </c>
      <c r="D555" s="8" t="s">
        <v>1171</v>
      </c>
      <c r="E555" s="8" t="s">
        <v>72</v>
      </c>
      <c r="F555" s="9">
        <v>39259.418749999997</v>
      </c>
      <c r="G555" s="10">
        <v>39367</v>
      </c>
      <c r="H555" s="10">
        <v>43019</v>
      </c>
      <c r="I555" s="8" t="s">
        <v>1172</v>
      </c>
      <c r="J555" s="8" t="str">
        <f>"Central, Mumbwa"</f>
        <v>Central, Mumbwa</v>
      </c>
    </row>
    <row r="556" spans="1:10" x14ac:dyDescent="0.2">
      <c r="A556" s="1" t="str">
        <f>"8541-HQ-SML"</f>
        <v>8541-HQ-SML</v>
      </c>
      <c r="B556" s="5" t="s">
        <v>1115</v>
      </c>
      <c r="C556" s="5" t="s">
        <v>11</v>
      </c>
      <c r="D556" s="5" t="s">
        <v>813</v>
      </c>
      <c r="E556" s="5" t="s">
        <v>13</v>
      </c>
      <c r="F556" s="6">
        <v>39066.490972222222</v>
      </c>
      <c r="G556" s="7">
        <v>39225</v>
      </c>
      <c r="H556" s="7">
        <v>42877</v>
      </c>
      <c r="I556" s="5" t="s">
        <v>1173</v>
      </c>
      <c r="J556" s="5" t="str">
        <f>"Copperbelt, Kalulushi, Chambishi"</f>
        <v>Copperbelt, Kalulushi, Chambishi</v>
      </c>
    </row>
    <row r="557" spans="1:10" x14ac:dyDescent="0.2">
      <c r="A557" s="2" t="str">
        <f>"8546-HQ-SML"</f>
        <v>8546-HQ-SML</v>
      </c>
      <c r="B557" s="8" t="s">
        <v>1174</v>
      </c>
      <c r="C557" s="8" t="s">
        <v>11</v>
      </c>
      <c r="D557" s="8" t="s">
        <v>541</v>
      </c>
      <c r="E557" s="8" t="s">
        <v>72</v>
      </c>
      <c r="F557" s="9">
        <v>39260.541666666664</v>
      </c>
      <c r="G557" s="10">
        <v>39311</v>
      </c>
      <c r="H557" s="10">
        <v>42963</v>
      </c>
      <c r="I557" s="8" t="s">
        <v>1175</v>
      </c>
      <c r="J557" s="8" t="str">
        <f>"Central, Mumbwa"</f>
        <v>Central, Mumbwa</v>
      </c>
    </row>
    <row r="558" spans="1:10" x14ac:dyDescent="0.2">
      <c r="A558" s="1" t="str">
        <f>"8550-HQ-SML"</f>
        <v>8550-HQ-SML</v>
      </c>
      <c r="B558" s="5" t="s">
        <v>1176</v>
      </c>
      <c r="C558" s="5" t="s">
        <v>11</v>
      </c>
      <c r="D558" s="5" t="s">
        <v>1177</v>
      </c>
      <c r="E558" s="5" t="s">
        <v>72</v>
      </c>
      <c r="F558" s="6">
        <v>39078.652777777781</v>
      </c>
      <c r="G558" s="7">
        <v>39315</v>
      </c>
      <c r="H558" s="7">
        <v>42967</v>
      </c>
      <c r="I558" s="5" t="s">
        <v>1178</v>
      </c>
      <c r="J558" s="5" t="str">
        <f>"Central, Kapiri Mposhi"</f>
        <v>Central, Kapiri Mposhi</v>
      </c>
    </row>
    <row r="559" spans="1:10" x14ac:dyDescent="0.2">
      <c r="A559" s="2" t="str">
        <f>"8551-HQ-SML"</f>
        <v>8551-HQ-SML</v>
      </c>
      <c r="B559" s="8" t="s">
        <v>1179</v>
      </c>
      <c r="C559" s="8" t="s">
        <v>11</v>
      </c>
      <c r="D559" s="8" t="s">
        <v>1153</v>
      </c>
      <c r="E559" s="8" t="s">
        <v>72</v>
      </c>
      <c r="F559" s="9">
        <v>39260.690972222219</v>
      </c>
      <c r="G559" s="10">
        <v>39317</v>
      </c>
      <c r="H559" s="10">
        <v>42969</v>
      </c>
      <c r="I559" s="8" t="s">
        <v>1180</v>
      </c>
      <c r="J559" s="8" t="str">
        <f>"North Western, Mufumbwe"</f>
        <v>North Western, Mufumbwe</v>
      </c>
    </row>
    <row r="560" spans="1:10" x14ac:dyDescent="0.2">
      <c r="A560" s="1" t="str">
        <f>"8553-HQ-SML"</f>
        <v>8553-HQ-SML</v>
      </c>
      <c r="B560" s="5" t="s">
        <v>1181</v>
      </c>
      <c r="C560" s="5" t="s">
        <v>11</v>
      </c>
      <c r="D560" s="5" t="s">
        <v>285</v>
      </c>
      <c r="E560" s="5" t="s">
        <v>72</v>
      </c>
      <c r="F560" s="6">
        <v>39219.618750000001</v>
      </c>
      <c r="G560" s="7">
        <v>39322</v>
      </c>
      <c r="H560" s="7">
        <v>42974</v>
      </c>
      <c r="I560" s="5" t="s">
        <v>1182</v>
      </c>
      <c r="J560" s="5" t="str">
        <f>"Central, Mumbwa, Kaindu"</f>
        <v>Central, Mumbwa, Kaindu</v>
      </c>
    </row>
    <row r="561" spans="1:10" x14ac:dyDescent="0.2">
      <c r="A561" s="2" t="str">
        <f>"8554-HQ-SML"</f>
        <v>8554-HQ-SML</v>
      </c>
      <c r="B561" s="8" t="s">
        <v>1183</v>
      </c>
      <c r="C561" s="8" t="s">
        <v>11</v>
      </c>
      <c r="D561" s="8" t="s">
        <v>51</v>
      </c>
      <c r="E561" s="8" t="s">
        <v>72</v>
      </c>
      <c r="F561" s="9">
        <v>39111.618750000001</v>
      </c>
      <c r="G561" s="10">
        <v>39322</v>
      </c>
      <c r="H561" s="10">
        <v>42974</v>
      </c>
      <c r="I561" s="8" t="s">
        <v>1184</v>
      </c>
      <c r="J561" s="8" t="str">
        <f>"North Western, Mufumbwe, Mufumbwe"</f>
        <v>North Western, Mufumbwe, Mufumbwe</v>
      </c>
    </row>
    <row r="562" spans="1:10" x14ac:dyDescent="0.2">
      <c r="A562" s="1" t="str">
        <f>"8555-HQ-SML"</f>
        <v>8555-HQ-SML</v>
      </c>
      <c r="B562" s="5" t="s">
        <v>1183</v>
      </c>
      <c r="C562" s="5" t="s">
        <v>11</v>
      </c>
      <c r="D562" s="5" t="s">
        <v>51</v>
      </c>
      <c r="E562" s="5" t="s">
        <v>13</v>
      </c>
      <c r="F562" s="6">
        <v>39142.458611111113</v>
      </c>
      <c r="G562" s="7">
        <v>39322</v>
      </c>
      <c r="H562" s="7">
        <v>42974</v>
      </c>
      <c r="I562" s="5" t="s">
        <v>1185</v>
      </c>
      <c r="J562" s="5" t="str">
        <f>"North Western, Mufumbwe"</f>
        <v>North Western, Mufumbwe</v>
      </c>
    </row>
    <row r="563" spans="1:10" x14ac:dyDescent="0.2">
      <c r="A563" s="2" t="str">
        <f>"8557-HQ-SML"</f>
        <v>8557-HQ-SML</v>
      </c>
      <c r="B563" s="8" t="s">
        <v>1186</v>
      </c>
      <c r="C563" s="8" t="s">
        <v>11</v>
      </c>
      <c r="D563" s="8" t="s">
        <v>65</v>
      </c>
      <c r="E563" s="8" t="s">
        <v>13</v>
      </c>
      <c r="F563" s="9">
        <v>39218.697916666664</v>
      </c>
      <c r="G563" s="10">
        <v>39322</v>
      </c>
      <c r="H563" s="10">
        <v>42974</v>
      </c>
      <c r="I563" s="8" t="s">
        <v>1187</v>
      </c>
      <c r="J563" s="8" t="str">
        <f>"Central, Mkushi, Nkumbi"</f>
        <v>Central, Mkushi, Nkumbi</v>
      </c>
    </row>
    <row r="564" spans="1:10" x14ac:dyDescent="0.2">
      <c r="A564" s="1" t="str">
        <f>"8559-HQ-SML"</f>
        <v>8559-HQ-SML</v>
      </c>
      <c r="B564" s="5" t="s">
        <v>1188</v>
      </c>
      <c r="C564" s="5" t="s">
        <v>11</v>
      </c>
      <c r="D564" s="5" t="s">
        <v>1189</v>
      </c>
      <c r="E564" s="5" t="s">
        <v>72</v>
      </c>
      <c r="F564" s="6">
        <v>39120.684444444443</v>
      </c>
      <c r="G564" s="7">
        <v>39324</v>
      </c>
      <c r="H564" s="7">
        <v>42976</v>
      </c>
      <c r="I564" s="5" t="s">
        <v>1190</v>
      </c>
      <c r="J564" s="5" t="str">
        <f>"Southern, Kalomo"</f>
        <v>Southern, Kalomo</v>
      </c>
    </row>
    <row r="565" spans="1:10" x14ac:dyDescent="0.2">
      <c r="A565" s="2" t="str">
        <f>"8566-HQ-SML"</f>
        <v>8566-HQ-SML</v>
      </c>
      <c r="B565" s="8" t="s">
        <v>1191</v>
      </c>
      <c r="C565" s="8" t="s">
        <v>11</v>
      </c>
      <c r="D565" s="8" t="s">
        <v>51</v>
      </c>
      <c r="E565" s="8" t="s">
        <v>13</v>
      </c>
      <c r="F565" s="9">
        <v>38722.506944444445</v>
      </c>
      <c r="G565" s="10">
        <v>39323</v>
      </c>
      <c r="H565" s="10">
        <v>42975</v>
      </c>
      <c r="I565" s="8" t="s">
        <v>1192</v>
      </c>
      <c r="J565" s="8" t="str">
        <f>"North Western, Kasempa"</f>
        <v>North Western, Kasempa</v>
      </c>
    </row>
    <row r="566" spans="1:10" x14ac:dyDescent="0.2">
      <c r="A566" s="1" t="str">
        <f>"8568-HQ-SML"</f>
        <v>8568-HQ-SML</v>
      </c>
      <c r="B566" s="5" t="s">
        <v>1115</v>
      </c>
      <c r="C566" s="5" t="s">
        <v>11</v>
      </c>
      <c r="D566" s="5" t="s">
        <v>1193</v>
      </c>
      <c r="E566" s="5" t="s">
        <v>72</v>
      </c>
      <c r="F566" s="6">
        <v>39066.488888888889</v>
      </c>
      <c r="G566" s="7">
        <v>39339</v>
      </c>
      <c r="H566" s="7">
        <v>42991</v>
      </c>
      <c r="I566" s="5" t="s">
        <v>1194</v>
      </c>
      <c r="J566" s="5" t="str">
        <f>"Lusaka, Chongwe, Luangwa"</f>
        <v>Lusaka, Chongwe, Luangwa</v>
      </c>
    </row>
    <row r="567" spans="1:10" x14ac:dyDescent="0.2">
      <c r="A567" s="2" t="str">
        <f>"8571-HQ-SML"</f>
        <v>8571-HQ-SML</v>
      </c>
      <c r="B567" s="8" t="s">
        <v>1195</v>
      </c>
      <c r="C567" s="8" t="s">
        <v>11</v>
      </c>
      <c r="D567" s="8" t="s">
        <v>813</v>
      </c>
      <c r="E567" s="8" t="s">
        <v>72</v>
      </c>
      <c r="F567" s="9">
        <v>39231.628472222219</v>
      </c>
      <c r="G567" s="10">
        <v>39372</v>
      </c>
      <c r="H567" s="10">
        <v>43024</v>
      </c>
      <c r="I567" s="8" t="s">
        <v>1196</v>
      </c>
      <c r="J567" s="8" t="str">
        <f>"North Western, Solwezi"</f>
        <v>North Western, Solwezi</v>
      </c>
    </row>
    <row r="568" spans="1:10" ht="22.5" x14ac:dyDescent="0.2">
      <c r="A568" s="1" t="str">
        <f>"8572-HQ-SML"</f>
        <v>8572-HQ-SML</v>
      </c>
      <c r="B568" s="5" t="s">
        <v>1197</v>
      </c>
      <c r="C568" s="5" t="s">
        <v>11</v>
      </c>
      <c r="D568" s="5" t="s">
        <v>541</v>
      </c>
      <c r="E568" s="5" t="s">
        <v>72</v>
      </c>
      <c r="F568" s="6">
        <v>39099.479166666664</v>
      </c>
      <c r="G568" s="7">
        <v>39353</v>
      </c>
      <c r="H568" s="7">
        <v>43005</v>
      </c>
      <c r="I568" s="5" t="s">
        <v>1198</v>
      </c>
      <c r="J568" s="5" t="str">
        <f>"Copperbelt, Ndola, Misundu"</f>
        <v>Copperbelt, Ndola, Misundu</v>
      </c>
    </row>
    <row r="569" spans="1:10" x14ac:dyDescent="0.2">
      <c r="A569" s="2" t="str">
        <f>"8581-HQ-SML"</f>
        <v>8581-HQ-SML</v>
      </c>
      <c r="B569" s="8" t="s">
        <v>1123</v>
      </c>
      <c r="C569" s="8" t="s">
        <v>11</v>
      </c>
      <c r="D569" s="8" t="s">
        <v>1199</v>
      </c>
      <c r="E569" s="8" t="s">
        <v>13</v>
      </c>
      <c r="F569" s="9">
        <v>39262.633738425924</v>
      </c>
      <c r="G569" s="10">
        <v>39377</v>
      </c>
      <c r="H569" s="10">
        <v>43029</v>
      </c>
      <c r="I569" s="8" t="s">
        <v>1200</v>
      </c>
      <c r="J569" s="8" t="str">
        <f>"Central, Mumbwa"</f>
        <v>Central, Mumbwa</v>
      </c>
    </row>
    <row r="570" spans="1:10" x14ac:dyDescent="0.2">
      <c r="A570" s="1" t="str">
        <f>"8583-HQ-SML"</f>
        <v>8583-HQ-SML</v>
      </c>
      <c r="B570" s="5" t="s">
        <v>1201</v>
      </c>
      <c r="C570" s="5" t="s">
        <v>11</v>
      </c>
      <c r="D570" s="5" t="s">
        <v>51</v>
      </c>
      <c r="E570" s="5" t="s">
        <v>72</v>
      </c>
      <c r="F570" s="6">
        <v>38722.625798611109</v>
      </c>
      <c r="G570" s="7">
        <v>39395</v>
      </c>
      <c r="H570" s="7">
        <v>43047</v>
      </c>
      <c r="I570" s="5" t="s">
        <v>1202</v>
      </c>
      <c r="J570" s="5" t="str">
        <f>"North Western, Mufumbwe"</f>
        <v>North Western, Mufumbwe</v>
      </c>
    </row>
    <row r="571" spans="1:10" x14ac:dyDescent="0.2">
      <c r="A571" s="2" t="str">
        <f>"8586-HQ-SML"</f>
        <v>8586-HQ-SML</v>
      </c>
      <c r="B571" s="8" t="s">
        <v>1203</v>
      </c>
      <c r="C571" s="8" t="s">
        <v>11</v>
      </c>
      <c r="D571" s="8" t="s">
        <v>1004</v>
      </c>
      <c r="E571" s="8" t="s">
        <v>72</v>
      </c>
      <c r="F571" s="9">
        <v>38974.67291666667</v>
      </c>
      <c r="G571" s="10">
        <v>39190</v>
      </c>
      <c r="H571" s="10">
        <v>42842</v>
      </c>
      <c r="I571" s="8" t="s">
        <v>1204</v>
      </c>
      <c r="J571" s="8" t="str">
        <f>"Central, Mumbwa"</f>
        <v>Central, Mumbwa</v>
      </c>
    </row>
    <row r="572" spans="1:10" x14ac:dyDescent="0.2">
      <c r="A572" s="1" t="str">
        <f>"8587-HQ-SML"</f>
        <v>8587-HQ-SML</v>
      </c>
      <c r="B572" s="5" t="s">
        <v>1125</v>
      </c>
      <c r="C572" s="5" t="s">
        <v>11</v>
      </c>
      <c r="D572" s="5" t="s">
        <v>1205</v>
      </c>
      <c r="E572" s="5" t="s">
        <v>72</v>
      </c>
      <c r="F572" s="6">
        <v>39199.538194444445</v>
      </c>
      <c r="G572" s="7">
        <v>39240</v>
      </c>
      <c r="H572" s="7">
        <v>42892</v>
      </c>
      <c r="I572" s="5" t="s">
        <v>1206</v>
      </c>
      <c r="J572" s="5" t="str">
        <f>"Southern, Kalomo, Kabanga"</f>
        <v>Southern, Kalomo, Kabanga</v>
      </c>
    </row>
    <row r="573" spans="1:10" x14ac:dyDescent="0.2">
      <c r="A573" s="2" t="str">
        <f>"8588-HQ-SML"</f>
        <v>8588-HQ-SML</v>
      </c>
      <c r="B573" s="8" t="s">
        <v>1207</v>
      </c>
      <c r="C573" s="8" t="s">
        <v>11</v>
      </c>
      <c r="D573" s="8" t="s">
        <v>167</v>
      </c>
      <c r="E573" s="8" t="s">
        <v>72</v>
      </c>
      <c r="F573" s="9">
        <v>39244.631944444445</v>
      </c>
      <c r="G573" s="10">
        <v>39336</v>
      </c>
      <c r="H573" s="10">
        <v>42988</v>
      </c>
      <c r="I573" s="8" t="s">
        <v>1208</v>
      </c>
      <c r="J573" s="8" t="str">
        <f>"North Western, Mwinilunga"</f>
        <v>North Western, Mwinilunga</v>
      </c>
    </row>
    <row r="574" spans="1:10" x14ac:dyDescent="0.2">
      <c r="A574" s="1" t="str">
        <f>"8590-HQ-SML"</f>
        <v>8590-HQ-SML</v>
      </c>
      <c r="B574" s="5" t="s">
        <v>1209</v>
      </c>
      <c r="C574" s="5" t="s">
        <v>11</v>
      </c>
      <c r="D574" s="5" t="s">
        <v>51</v>
      </c>
      <c r="E574" s="5" t="s">
        <v>72</v>
      </c>
      <c r="F574" s="6">
        <v>39205.619444444441</v>
      </c>
      <c r="G574" s="7">
        <v>39400</v>
      </c>
      <c r="H574" s="7">
        <v>43052</v>
      </c>
      <c r="I574" s="5" t="s">
        <v>1210</v>
      </c>
      <c r="J574" s="5" t="str">
        <f>"Central, Kapiri Mposhi, Mukonchi"</f>
        <v>Central, Kapiri Mposhi, Mukonchi</v>
      </c>
    </row>
    <row r="575" spans="1:10" x14ac:dyDescent="0.2">
      <c r="A575" s="2" t="str">
        <f>"8593-HQ-SML"</f>
        <v>8593-HQ-SML</v>
      </c>
      <c r="B575" s="8" t="s">
        <v>1211</v>
      </c>
      <c r="C575" s="8" t="s">
        <v>11</v>
      </c>
      <c r="D575" s="8" t="s">
        <v>167</v>
      </c>
      <c r="E575" s="8" t="s">
        <v>13</v>
      </c>
      <c r="F575" s="9">
        <v>38975.648611111108</v>
      </c>
      <c r="G575" s="10">
        <v>39412</v>
      </c>
      <c r="H575" s="10">
        <v>43064</v>
      </c>
      <c r="I575" s="8" t="s">
        <v>1212</v>
      </c>
      <c r="J575" s="8" t="str">
        <f>"Central, Chibombo, Namisale"</f>
        <v>Central, Chibombo, Namisale</v>
      </c>
    </row>
    <row r="576" spans="1:10" x14ac:dyDescent="0.2">
      <c r="A576" s="1" t="str">
        <f>"8609-HQ-SML"</f>
        <v>8609-HQ-SML</v>
      </c>
      <c r="B576" s="5" t="s">
        <v>1213</v>
      </c>
      <c r="C576" s="5" t="s">
        <v>11</v>
      </c>
      <c r="D576" s="5" t="s">
        <v>51</v>
      </c>
      <c r="E576" s="5" t="s">
        <v>13</v>
      </c>
      <c r="F576" s="6">
        <v>39024.407638888886</v>
      </c>
      <c r="G576" s="7">
        <v>39533</v>
      </c>
      <c r="H576" s="7">
        <v>43184</v>
      </c>
      <c r="I576" s="5" t="s">
        <v>1214</v>
      </c>
      <c r="J576" s="5" t="str">
        <f>"North Western, Mufumbwe"</f>
        <v>North Western, Mufumbwe</v>
      </c>
    </row>
    <row r="577" spans="1:10" x14ac:dyDescent="0.2">
      <c r="A577" s="2" t="str">
        <f>"8610-HQ-SML"</f>
        <v>8610-HQ-SML</v>
      </c>
      <c r="B577" s="8" t="s">
        <v>1215</v>
      </c>
      <c r="C577" s="8" t="s">
        <v>11</v>
      </c>
      <c r="D577" s="8" t="s">
        <v>813</v>
      </c>
      <c r="E577" s="8" t="s">
        <v>138</v>
      </c>
      <c r="F577" s="9">
        <v>39105.460416666669</v>
      </c>
      <c r="G577" s="10">
        <v>39554</v>
      </c>
      <c r="H577" s="10">
        <v>43205</v>
      </c>
      <c r="I577" s="8" t="s">
        <v>1216</v>
      </c>
      <c r="J577" s="8" t="str">
        <f>"Copperbelt, Chingola, Kakosa East"</f>
        <v>Copperbelt, Chingola, Kakosa East</v>
      </c>
    </row>
    <row r="578" spans="1:10" x14ac:dyDescent="0.2">
      <c r="A578" s="1" t="str">
        <f>"8612-HQ-SML"</f>
        <v>8612-HQ-SML</v>
      </c>
      <c r="B578" s="5" t="s">
        <v>1217</v>
      </c>
      <c r="C578" s="5" t="s">
        <v>11</v>
      </c>
      <c r="D578" s="5" t="s">
        <v>589</v>
      </c>
      <c r="E578" s="5" t="s">
        <v>13</v>
      </c>
      <c r="F578" s="6">
        <v>39097.489583333336</v>
      </c>
      <c r="G578" s="7">
        <v>39476</v>
      </c>
      <c r="H578" s="7">
        <v>43128</v>
      </c>
      <c r="I578" s="5" t="s">
        <v>1218</v>
      </c>
      <c r="J578" s="5" t="str">
        <f>"Luapula, Mansa, Katuta"</f>
        <v>Luapula, Mansa, Katuta</v>
      </c>
    </row>
    <row r="579" spans="1:10" x14ac:dyDescent="0.2">
      <c r="A579" s="2" t="str">
        <f>"8613-HQ-SML"</f>
        <v>8613-HQ-SML</v>
      </c>
      <c r="B579" s="8" t="s">
        <v>1219</v>
      </c>
      <c r="C579" s="8" t="s">
        <v>11</v>
      </c>
      <c r="D579" s="8" t="s">
        <v>167</v>
      </c>
      <c r="E579" s="8" t="s">
        <v>72</v>
      </c>
      <c r="F579" s="9">
        <v>39128.6875</v>
      </c>
      <c r="G579" s="10">
        <v>39545</v>
      </c>
      <c r="H579" s="10">
        <v>43196</v>
      </c>
      <c r="I579" s="8" t="s">
        <v>1220</v>
      </c>
      <c r="J579" s="8" t="str">
        <f>"North Western, Mufumbwe, Mufumbwe"</f>
        <v>North Western, Mufumbwe, Mufumbwe</v>
      </c>
    </row>
    <row r="580" spans="1:10" x14ac:dyDescent="0.2">
      <c r="A580" s="1" t="str">
        <f>"8615-HQ-SML"</f>
        <v>8615-HQ-SML</v>
      </c>
      <c r="B580" s="5" t="s">
        <v>1221</v>
      </c>
      <c r="C580" s="5" t="s">
        <v>11</v>
      </c>
      <c r="D580" s="5" t="s">
        <v>1222</v>
      </c>
      <c r="E580" s="5" t="s">
        <v>72</v>
      </c>
      <c r="F580" s="6">
        <v>39115.677083333336</v>
      </c>
      <c r="G580" s="7">
        <v>39542</v>
      </c>
      <c r="H580" s="7">
        <v>43194</v>
      </c>
      <c r="I580" s="5" t="s">
        <v>1223</v>
      </c>
      <c r="J580" s="5" t="str">
        <f>"North Western, Kabompo, Mufumbwe; Western, Kaoma, Lukulu"</f>
        <v>North Western, Kabompo, Mufumbwe; Western, Kaoma, Lukulu</v>
      </c>
    </row>
    <row r="581" spans="1:10" x14ac:dyDescent="0.2">
      <c r="A581" s="2" t="str">
        <f>"8616-HQ-SML"</f>
        <v>8616-HQ-SML</v>
      </c>
      <c r="B581" s="8" t="s">
        <v>1224</v>
      </c>
      <c r="C581" s="8" t="s">
        <v>11</v>
      </c>
      <c r="D581" s="8" t="s">
        <v>51</v>
      </c>
      <c r="E581" s="8" t="s">
        <v>138</v>
      </c>
      <c r="F581" s="9">
        <v>39118.658449074072</v>
      </c>
      <c r="G581" s="10">
        <v>39552</v>
      </c>
      <c r="H581" s="10">
        <v>43203</v>
      </c>
      <c r="I581" s="8" t="s">
        <v>1225</v>
      </c>
      <c r="J581" s="8" t="str">
        <f>"North Western, Mufumbwe"</f>
        <v>North Western, Mufumbwe</v>
      </c>
    </row>
    <row r="582" spans="1:10" x14ac:dyDescent="0.2">
      <c r="A582" s="1" t="str">
        <f>"8617-HQ-SML"</f>
        <v>8617-HQ-SML</v>
      </c>
      <c r="B582" s="5" t="s">
        <v>1224</v>
      </c>
      <c r="C582" s="5" t="s">
        <v>11</v>
      </c>
      <c r="D582" s="5" t="s">
        <v>167</v>
      </c>
      <c r="E582" s="5" t="s">
        <v>72</v>
      </c>
      <c r="F582" s="6">
        <v>39118.659722222219</v>
      </c>
      <c r="G582" s="7">
        <v>39552</v>
      </c>
      <c r="H582" s="7">
        <v>43203</v>
      </c>
      <c r="I582" s="5" t="s">
        <v>1226</v>
      </c>
      <c r="J582" s="5" t="str">
        <f>"North Western, Mufumbwe, Chizera"</f>
        <v>North Western, Mufumbwe, Chizera</v>
      </c>
    </row>
    <row r="583" spans="1:10" x14ac:dyDescent="0.2">
      <c r="A583" s="2" t="str">
        <f>"8619-HQ-SML"</f>
        <v>8619-HQ-SML</v>
      </c>
      <c r="B583" s="8" t="s">
        <v>1221</v>
      </c>
      <c r="C583" s="8" t="s">
        <v>11</v>
      </c>
      <c r="D583" s="8" t="s">
        <v>626</v>
      </c>
      <c r="E583" s="8" t="s">
        <v>72</v>
      </c>
      <c r="F583" s="9">
        <v>39125.666666666664</v>
      </c>
      <c r="G583" s="10">
        <v>39478</v>
      </c>
      <c r="H583" s="10">
        <v>43130</v>
      </c>
      <c r="I583" s="8" t="s">
        <v>1227</v>
      </c>
      <c r="J583" s="8" t="str">
        <f>"Central, Mumbwa"</f>
        <v>Central, Mumbwa</v>
      </c>
    </row>
    <row r="584" spans="1:10" x14ac:dyDescent="0.2">
      <c r="A584" s="1" t="str">
        <f>"8664-HQ-AMR"</f>
        <v>8664-HQ-AMR</v>
      </c>
      <c r="B584" s="5" t="s">
        <v>18</v>
      </c>
      <c r="C584" s="5" t="s">
        <v>19</v>
      </c>
      <c r="D584" s="5" t="s">
        <v>20</v>
      </c>
      <c r="E584" s="5" t="s">
        <v>13</v>
      </c>
      <c r="F584" s="6">
        <v>39037.703472222223</v>
      </c>
      <c r="G584" s="7">
        <v>42579</v>
      </c>
      <c r="H584" s="7">
        <v>43308</v>
      </c>
      <c r="I584" s="5" t="s">
        <v>21</v>
      </c>
      <c r="J584" s="5" t="str">
        <f>"Luapula, Mansa, Mulaye Farm"</f>
        <v>Luapula, Mansa, Mulaye Farm</v>
      </c>
    </row>
    <row r="585" spans="1:10" x14ac:dyDescent="0.2">
      <c r="A585" s="2" t="str">
        <f>"8677-HQ-SML"</f>
        <v>8677-HQ-SML</v>
      </c>
      <c r="B585" s="8" t="s">
        <v>1228</v>
      </c>
      <c r="C585" s="8" t="s">
        <v>11</v>
      </c>
      <c r="D585" s="8" t="s">
        <v>1229</v>
      </c>
      <c r="E585" s="8" t="s">
        <v>13</v>
      </c>
      <c r="F585" s="9">
        <v>39185.625</v>
      </c>
      <c r="G585" s="10">
        <v>39534</v>
      </c>
      <c r="H585" s="10">
        <v>43185</v>
      </c>
      <c r="I585" s="8" t="s">
        <v>1230</v>
      </c>
      <c r="J585" s="8" t="str">
        <f>"Eastern, Lundazi, Mwanya"</f>
        <v>Eastern, Lundazi, Mwanya</v>
      </c>
    </row>
    <row r="586" spans="1:10" x14ac:dyDescent="0.2">
      <c r="A586" s="1" t="str">
        <f>"8720-HQ-SML"</f>
        <v>8720-HQ-SML</v>
      </c>
      <c r="B586" s="5" t="s">
        <v>1231</v>
      </c>
      <c r="C586" s="5" t="s">
        <v>11</v>
      </c>
      <c r="D586" s="5" t="s">
        <v>156</v>
      </c>
      <c r="E586" s="5" t="s">
        <v>13</v>
      </c>
      <c r="F586" s="6">
        <v>38961.428472222222</v>
      </c>
      <c r="G586" s="7">
        <v>39681</v>
      </c>
      <c r="H586" s="7">
        <v>43332</v>
      </c>
      <c r="I586" s="5" t="s">
        <v>1232</v>
      </c>
      <c r="J586" s="5" t="str">
        <f>"Central, Mkushi, Chiwefwe"</f>
        <v>Central, Mkushi, Chiwefwe</v>
      </c>
    </row>
    <row r="587" spans="1:10" x14ac:dyDescent="0.2">
      <c r="A587" s="2" t="str">
        <f>"8723-HQ-SML"</f>
        <v>8723-HQ-SML</v>
      </c>
      <c r="B587" s="8" t="s">
        <v>1233</v>
      </c>
      <c r="C587" s="8" t="s">
        <v>11</v>
      </c>
      <c r="D587" s="8" t="s">
        <v>813</v>
      </c>
      <c r="E587" s="8" t="s">
        <v>55</v>
      </c>
      <c r="F587" s="9">
        <v>39100.458333333336</v>
      </c>
      <c r="G587" s="10">
        <v>39713</v>
      </c>
      <c r="H587" s="10">
        <v>43364</v>
      </c>
      <c r="I587" s="8" t="s">
        <v>1234</v>
      </c>
      <c r="J587" s="8" t="str">
        <f>"Copperbelt, Chingola, Chingola"</f>
        <v>Copperbelt, Chingola, Chingola</v>
      </c>
    </row>
    <row r="588" spans="1:10" x14ac:dyDescent="0.2">
      <c r="A588" s="1" t="str">
        <f>"8727-HQ-SML"</f>
        <v>8727-HQ-SML</v>
      </c>
      <c r="B588" s="5" t="s">
        <v>1235</v>
      </c>
      <c r="C588" s="5" t="s">
        <v>11</v>
      </c>
      <c r="D588" s="5" t="s">
        <v>51</v>
      </c>
      <c r="E588" s="5" t="s">
        <v>13</v>
      </c>
      <c r="F588" s="6">
        <v>39112.40625</v>
      </c>
      <c r="G588" s="7">
        <v>39734</v>
      </c>
      <c r="H588" s="7">
        <v>43385</v>
      </c>
      <c r="I588" s="5" t="s">
        <v>1236</v>
      </c>
      <c r="J588" s="5" t="str">
        <f>"North Western, Mufumbwe"</f>
        <v>North Western, Mufumbwe</v>
      </c>
    </row>
    <row r="589" spans="1:10" x14ac:dyDescent="0.2">
      <c r="A589" s="2" t="str">
        <f>"8740-HQ-SML"</f>
        <v>8740-HQ-SML</v>
      </c>
      <c r="B589" s="8" t="s">
        <v>1237</v>
      </c>
      <c r="C589" s="8" t="s">
        <v>11</v>
      </c>
      <c r="D589" s="8" t="s">
        <v>1238</v>
      </c>
      <c r="E589" s="8" t="s">
        <v>13</v>
      </c>
      <c r="F589" s="9">
        <v>39078.691666666666</v>
      </c>
      <c r="G589" s="10">
        <v>39738</v>
      </c>
      <c r="H589" s="10">
        <v>43389</v>
      </c>
      <c r="I589" s="8" t="s">
        <v>1239</v>
      </c>
      <c r="J589" s="8" t="str">
        <f>"Southern, Siavonga, Chirundu"</f>
        <v>Southern, Siavonga, Chirundu</v>
      </c>
    </row>
    <row r="590" spans="1:10" x14ac:dyDescent="0.2">
      <c r="A590" s="1" t="str">
        <f>"10029-HQ-SML"</f>
        <v>10029-HQ-SML</v>
      </c>
      <c r="B590" s="5" t="s">
        <v>1240</v>
      </c>
      <c r="C590" s="5" t="s">
        <v>11</v>
      </c>
      <c r="D590" s="5" t="s">
        <v>51</v>
      </c>
      <c r="E590" s="5" t="s">
        <v>138</v>
      </c>
      <c r="F590" s="6">
        <v>39197.444444444445</v>
      </c>
      <c r="G590" s="7">
        <v>39335</v>
      </c>
      <c r="H590" s="7">
        <v>42987</v>
      </c>
      <c r="I590" s="5" t="s">
        <v>1241</v>
      </c>
      <c r="J590" s="5" t="str">
        <f>"North Western, Mufumbwe"</f>
        <v>North Western, Mufumbwe</v>
      </c>
    </row>
    <row r="591" spans="1:10" x14ac:dyDescent="0.2">
      <c r="A591" s="2" t="str">
        <f>"10117-HQ-SML"</f>
        <v>10117-HQ-SML</v>
      </c>
      <c r="B591" s="8" t="s">
        <v>1242</v>
      </c>
      <c r="C591" s="8" t="s">
        <v>11</v>
      </c>
      <c r="D591" s="8" t="s">
        <v>51</v>
      </c>
      <c r="E591" s="8" t="s">
        <v>13</v>
      </c>
      <c r="F591" s="9">
        <v>39213.707638888889</v>
      </c>
      <c r="G591" s="10">
        <v>39770</v>
      </c>
      <c r="H591" s="10">
        <v>43421</v>
      </c>
      <c r="I591" s="8" t="s">
        <v>1243</v>
      </c>
      <c r="J591" s="8" t="str">
        <f>"Lusaka, Lusaka, Chongwe"</f>
        <v>Lusaka, Lusaka, Chongwe</v>
      </c>
    </row>
    <row r="592" spans="1:10" x14ac:dyDescent="0.2">
      <c r="A592" s="1" t="str">
        <f>"10212-HQ-SML"</f>
        <v>10212-HQ-SML</v>
      </c>
      <c r="B592" s="5" t="s">
        <v>1244</v>
      </c>
      <c r="C592" s="5" t="s">
        <v>11</v>
      </c>
      <c r="D592" s="5" t="s">
        <v>1245</v>
      </c>
      <c r="E592" s="5" t="s">
        <v>13</v>
      </c>
      <c r="F592" s="6">
        <v>39224.515763888892</v>
      </c>
      <c r="G592" s="7">
        <v>39730</v>
      </c>
      <c r="H592" s="7">
        <v>43381</v>
      </c>
      <c r="I592" s="5" t="s">
        <v>1246</v>
      </c>
      <c r="J592" s="5" t="str">
        <f>"North Western, Solwezi"</f>
        <v>North Western, Solwezi</v>
      </c>
    </row>
    <row r="593" spans="1:10" x14ac:dyDescent="0.2">
      <c r="A593" s="2" t="str">
        <f>"10430-HQ-SML"</f>
        <v>10430-HQ-SML</v>
      </c>
      <c r="B593" s="8" t="s">
        <v>1140</v>
      </c>
      <c r="C593" s="8" t="s">
        <v>11</v>
      </c>
      <c r="D593" s="8" t="s">
        <v>1247</v>
      </c>
      <c r="E593" s="8" t="s">
        <v>13</v>
      </c>
      <c r="F593" s="9">
        <v>39253.645833333336</v>
      </c>
      <c r="G593" s="10">
        <v>39696</v>
      </c>
      <c r="H593" s="10">
        <v>43347</v>
      </c>
      <c r="I593" s="8" t="s">
        <v>1248</v>
      </c>
      <c r="J593" s="8" t="str">
        <f>"Southern, Kalomo"</f>
        <v>Southern, Kalomo</v>
      </c>
    </row>
    <row r="594" spans="1:10" x14ac:dyDescent="0.2">
      <c r="A594" s="1" t="str">
        <f>"10454-HQ-SML"</f>
        <v>10454-HQ-SML</v>
      </c>
      <c r="B594" s="5" t="s">
        <v>1249</v>
      </c>
      <c r="C594" s="5" t="s">
        <v>11</v>
      </c>
      <c r="D594" s="5" t="s">
        <v>1250</v>
      </c>
      <c r="E594" s="5" t="s">
        <v>13</v>
      </c>
      <c r="F594" s="6">
        <v>39254.684027777781</v>
      </c>
      <c r="G594" s="7">
        <v>39743</v>
      </c>
      <c r="H594" s="7">
        <v>43394</v>
      </c>
      <c r="I594" s="5" t="s">
        <v>1251</v>
      </c>
      <c r="J594" s="5" t="str">
        <f>"Eastern, Lundazi"</f>
        <v>Eastern, Lundazi</v>
      </c>
    </row>
    <row r="595" spans="1:10" x14ac:dyDescent="0.2">
      <c r="A595" s="2" t="str">
        <f>"10456-HQ-SML"</f>
        <v>10456-HQ-SML</v>
      </c>
      <c r="B595" s="8" t="s">
        <v>1207</v>
      </c>
      <c r="C595" s="8" t="s">
        <v>11</v>
      </c>
      <c r="D595" s="8" t="s">
        <v>51</v>
      </c>
      <c r="E595" s="8" t="s">
        <v>13</v>
      </c>
      <c r="F595" s="9">
        <v>39254.690972222219</v>
      </c>
      <c r="G595" s="10">
        <v>39736</v>
      </c>
      <c r="H595" s="10">
        <v>43387</v>
      </c>
      <c r="I595" s="8" t="s">
        <v>1252</v>
      </c>
      <c r="J595" s="8" t="str">
        <f>"Central, Mumbwa, Kaindu"</f>
        <v>Central, Mumbwa, Kaindu</v>
      </c>
    </row>
    <row r="596" spans="1:10" x14ac:dyDescent="0.2">
      <c r="A596" s="1" t="str">
        <f>"11307-HQ-SML"</f>
        <v>11307-HQ-SML</v>
      </c>
      <c r="B596" s="5"/>
      <c r="C596" s="5" t="s">
        <v>11</v>
      </c>
      <c r="D596" s="5" t="s">
        <v>65</v>
      </c>
      <c r="E596" s="5" t="s">
        <v>13</v>
      </c>
      <c r="F596" s="6">
        <v>39261.666666666664</v>
      </c>
      <c r="G596" s="7">
        <v>39805</v>
      </c>
      <c r="H596" s="7">
        <v>43456</v>
      </c>
      <c r="I596" s="5" t="s">
        <v>1253</v>
      </c>
      <c r="J596" s="5" t="str">
        <f>"Eastern, Lundazi"</f>
        <v>Eastern, Lundazi</v>
      </c>
    </row>
    <row r="597" spans="1:10" x14ac:dyDescent="0.2">
      <c r="A597" s="2" t="str">
        <f>"11309-HQ-SML"</f>
        <v>11309-HQ-SML</v>
      </c>
      <c r="B597" s="8" t="s">
        <v>1254</v>
      </c>
      <c r="C597" s="8" t="s">
        <v>11</v>
      </c>
      <c r="D597" s="8" t="s">
        <v>51</v>
      </c>
      <c r="E597" s="8" t="s">
        <v>55</v>
      </c>
      <c r="F597" s="9">
        <v>39261.668078703704</v>
      </c>
      <c r="G597" s="10">
        <v>39407</v>
      </c>
      <c r="H597" s="10">
        <v>43059</v>
      </c>
      <c r="I597" s="8" t="s">
        <v>1255</v>
      </c>
      <c r="J597" s="8" t="str">
        <f>""</f>
        <v/>
      </c>
    </row>
    <row r="598" spans="1:10" x14ac:dyDescent="0.2">
      <c r="A598" s="1" t="str">
        <f>"11465-HQ-SML"</f>
        <v>11465-HQ-SML</v>
      </c>
      <c r="B598" s="5" t="s">
        <v>1256</v>
      </c>
      <c r="C598" s="5" t="s">
        <v>11</v>
      </c>
      <c r="D598" s="5" t="s">
        <v>167</v>
      </c>
      <c r="E598" s="5" t="s">
        <v>489</v>
      </c>
      <c r="F598" s="6">
        <v>39262.416805555556</v>
      </c>
      <c r="G598" s="7">
        <v>39804</v>
      </c>
      <c r="H598" s="7">
        <v>43455</v>
      </c>
      <c r="I598" s="5" t="s">
        <v>1257</v>
      </c>
      <c r="J598" s="5" t="str">
        <f>"Central, Mumbwa"</f>
        <v>Central, Mumbwa</v>
      </c>
    </row>
    <row r="599" spans="1:10" x14ac:dyDescent="0.2">
      <c r="A599" s="2" t="str">
        <f>"11502-HQ-SML"</f>
        <v>11502-HQ-SML</v>
      </c>
      <c r="B599" s="8" t="s">
        <v>1217</v>
      </c>
      <c r="C599" s="8" t="s">
        <v>11</v>
      </c>
      <c r="D599" s="8" t="s">
        <v>1258</v>
      </c>
      <c r="E599" s="8" t="s">
        <v>13</v>
      </c>
      <c r="F599" s="9">
        <v>39262.694444444445</v>
      </c>
      <c r="G599" s="10">
        <v>39731</v>
      </c>
      <c r="H599" s="10">
        <v>43382</v>
      </c>
      <c r="I599" s="8" t="s">
        <v>1259</v>
      </c>
      <c r="J599" s="8" t="str">
        <f>"Copperbelt, Lufwanyama"</f>
        <v>Copperbelt, Lufwanyama</v>
      </c>
    </row>
    <row r="600" spans="1:10" x14ac:dyDescent="0.2">
      <c r="A600" s="1" t="str">
        <f>"11980-HQ-SML"</f>
        <v>11980-HQ-SML</v>
      </c>
      <c r="B600" s="5" t="s">
        <v>1020</v>
      </c>
      <c r="C600" s="5" t="s">
        <v>11</v>
      </c>
      <c r="D600" s="5" t="s">
        <v>65</v>
      </c>
      <c r="E600" s="5" t="s">
        <v>13</v>
      </c>
      <c r="F600" s="6">
        <v>39212.45208333333</v>
      </c>
      <c r="G600" s="7">
        <v>39770</v>
      </c>
      <c r="H600" s="7">
        <v>43421</v>
      </c>
      <c r="I600" s="5" t="s">
        <v>1260</v>
      </c>
      <c r="J600" s="5" t="str">
        <f>"Eastern, Lundazi"</f>
        <v>Eastern, Lundazi</v>
      </c>
    </row>
    <row r="601" spans="1:10" x14ac:dyDescent="0.2">
      <c r="A601" s="2" t="str">
        <f>"12124-HQ-LEL"</f>
        <v>12124-HQ-LEL</v>
      </c>
      <c r="B601" s="8" t="s">
        <v>1261</v>
      </c>
      <c r="C601" s="8" t="s">
        <v>15</v>
      </c>
      <c r="D601" s="8" t="s">
        <v>1262</v>
      </c>
      <c r="E601" s="8" t="s">
        <v>489</v>
      </c>
      <c r="F601" s="9">
        <v>39573.658333333333</v>
      </c>
      <c r="G601" s="10">
        <v>40170</v>
      </c>
      <c r="H601" s="10">
        <v>43456</v>
      </c>
      <c r="I601" s="8" t="s">
        <v>1263</v>
      </c>
      <c r="J601" s="8" t="str">
        <f>"North Western, Solwezi"</f>
        <v>North Western, Solwezi</v>
      </c>
    </row>
    <row r="602" spans="1:10" x14ac:dyDescent="0.2">
      <c r="A602" s="1" t="str">
        <f>"12130-HQ-LEL"</f>
        <v>12130-HQ-LEL</v>
      </c>
      <c r="B602" s="5" t="s">
        <v>1264</v>
      </c>
      <c r="C602" s="5" t="s">
        <v>15</v>
      </c>
      <c r="D602" s="5" t="s">
        <v>1265</v>
      </c>
      <c r="E602" s="5" t="s">
        <v>72</v>
      </c>
      <c r="F602" s="6">
        <v>39573.678240740737</v>
      </c>
      <c r="G602" s="7">
        <v>40623</v>
      </c>
      <c r="H602" s="7">
        <v>43179</v>
      </c>
      <c r="I602" s="5" t="s">
        <v>2276</v>
      </c>
      <c r="J602" s="5" t="str">
        <f>"North Western, Mwinilunga"</f>
        <v>North Western, Mwinilunga</v>
      </c>
    </row>
    <row r="603" spans="1:10" x14ac:dyDescent="0.2">
      <c r="A603" s="2" t="str">
        <f>"12131-HQ-LEL"</f>
        <v>12131-HQ-LEL</v>
      </c>
      <c r="B603" s="8" t="s">
        <v>1266</v>
      </c>
      <c r="C603" s="8" t="s">
        <v>15</v>
      </c>
      <c r="D603" s="8" t="s">
        <v>1267</v>
      </c>
      <c r="E603" s="8" t="s">
        <v>72</v>
      </c>
      <c r="F603" s="9">
        <v>39573.677743055552</v>
      </c>
      <c r="G603" s="10">
        <v>40416</v>
      </c>
      <c r="H603" s="10">
        <v>42972</v>
      </c>
      <c r="I603" s="8" t="s">
        <v>1268</v>
      </c>
      <c r="J603" s="8" t="str">
        <f>"North Western, Kabompo, Mufumbwe, Mwinilunga, Solwezi"</f>
        <v>North Western, Kabompo, Mufumbwe, Mwinilunga, Solwezi</v>
      </c>
    </row>
    <row r="604" spans="1:10" x14ac:dyDescent="0.2">
      <c r="A604" s="1" t="str">
        <f>"12132-HQ-LEL"</f>
        <v>12132-HQ-LEL</v>
      </c>
      <c r="B604" s="5" t="s">
        <v>1266</v>
      </c>
      <c r="C604" s="5" t="s">
        <v>15</v>
      </c>
      <c r="D604" s="5" t="s">
        <v>1265</v>
      </c>
      <c r="E604" s="5" t="s">
        <v>13</v>
      </c>
      <c r="F604" s="6">
        <v>39573.678090277775</v>
      </c>
      <c r="G604" s="7">
        <v>40410</v>
      </c>
      <c r="H604" s="7">
        <v>42966</v>
      </c>
      <c r="I604" s="5" t="s">
        <v>1269</v>
      </c>
      <c r="J604" s="5" t="str">
        <f>"North Western, Mwinilunga"</f>
        <v>North Western, Mwinilunga</v>
      </c>
    </row>
    <row r="605" spans="1:10" x14ac:dyDescent="0.2">
      <c r="A605" s="2" t="str">
        <f>"12141-HQ-SML"</f>
        <v>12141-HQ-SML</v>
      </c>
      <c r="B605" s="8" t="s">
        <v>1270</v>
      </c>
      <c r="C605" s="8" t="s">
        <v>11</v>
      </c>
      <c r="D605" s="8" t="s">
        <v>167</v>
      </c>
      <c r="E605" s="8" t="s">
        <v>13</v>
      </c>
      <c r="F605" s="9">
        <v>39573.689583333333</v>
      </c>
      <c r="G605" s="10">
        <v>39750</v>
      </c>
      <c r="H605" s="10">
        <v>43401</v>
      </c>
      <c r="I605" s="8" t="s">
        <v>1271</v>
      </c>
      <c r="J605" s="8" t="str">
        <f>"Central, Mkushi; Lusaka, Chongwe"</f>
        <v>Central, Mkushi; Lusaka, Chongwe</v>
      </c>
    </row>
    <row r="606" spans="1:10" x14ac:dyDescent="0.2">
      <c r="A606" s="1" t="str">
        <f>"12191-HQ-SEL"</f>
        <v>12191-HQ-SEL</v>
      </c>
      <c r="B606" s="5" t="s">
        <v>1272</v>
      </c>
      <c r="C606" s="5" t="s">
        <v>34</v>
      </c>
      <c r="D606" s="5" t="s">
        <v>1129</v>
      </c>
      <c r="E606" s="5" t="s">
        <v>13</v>
      </c>
      <c r="F606" s="6">
        <v>39575.422222222223</v>
      </c>
      <c r="G606" s="7">
        <v>41333</v>
      </c>
      <c r="H606" s="7">
        <v>43158</v>
      </c>
      <c r="I606" s="5" t="s">
        <v>1273</v>
      </c>
      <c r="J606" s="5" t="str">
        <f>"Luapula, Mansa"</f>
        <v>Luapula, Mansa</v>
      </c>
    </row>
    <row r="607" spans="1:10" x14ac:dyDescent="0.2">
      <c r="A607" s="2" t="str">
        <f>"12203-HQ-SML"</f>
        <v>12203-HQ-SML</v>
      </c>
      <c r="B607" s="8" t="s">
        <v>1274</v>
      </c>
      <c r="C607" s="8" t="s">
        <v>11</v>
      </c>
      <c r="D607" s="8" t="s">
        <v>51</v>
      </c>
      <c r="E607" s="8" t="s">
        <v>13</v>
      </c>
      <c r="F607" s="9">
        <v>39575.477777777778</v>
      </c>
      <c r="G607" s="10">
        <v>39722</v>
      </c>
      <c r="H607" s="10">
        <v>43373</v>
      </c>
      <c r="I607" s="8" t="s">
        <v>1275</v>
      </c>
      <c r="J607" s="8" t="str">
        <f>"North Western, Kasempa"</f>
        <v>North Western, Kasempa</v>
      </c>
    </row>
    <row r="608" spans="1:10" x14ac:dyDescent="0.2">
      <c r="A608" s="1" t="str">
        <f>"12204-HQ-SML"</f>
        <v>12204-HQ-SML</v>
      </c>
      <c r="B608" s="5" t="s">
        <v>1274</v>
      </c>
      <c r="C608" s="5" t="s">
        <v>11</v>
      </c>
      <c r="D608" s="5" t="s">
        <v>51</v>
      </c>
      <c r="E608" s="5" t="s">
        <v>13</v>
      </c>
      <c r="F608" s="6">
        <v>39575.478472222225</v>
      </c>
      <c r="G608" s="7">
        <v>39722</v>
      </c>
      <c r="H608" s="7">
        <v>43373</v>
      </c>
      <c r="I608" s="5" t="s">
        <v>1276</v>
      </c>
      <c r="J608" s="5" t="str">
        <f>"North Western, Kasempa"</f>
        <v>North Western, Kasempa</v>
      </c>
    </row>
    <row r="609" spans="1:10" x14ac:dyDescent="0.2">
      <c r="A609" s="2" t="str">
        <f>"12233-HQ-SML"</f>
        <v>12233-HQ-SML</v>
      </c>
      <c r="B609" s="8" t="s">
        <v>1277</v>
      </c>
      <c r="C609" s="8" t="s">
        <v>11</v>
      </c>
      <c r="D609" s="8" t="s">
        <v>570</v>
      </c>
      <c r="E609" s="8" t="s">
        <v>13</v>
      </c>
      <c r="F609" s="9">
        <v>39576.421527777777</v>
      </c>
      <c r="G609" s="10">
        <v>39722</v>
      </c>
      <c r="H609" s="10">
        <v>43373</v>
      </c>
      <c r="I609" s="8" t="s">
        <v>1278</v>
      </c>
      <c r="J609" s="8" t="str">
        <f>"Copperbelt, Lufwanyama"</f>
        <v>Copperbelt, Lufwanyama</v>
      </c>
    </row>
    <row r="610" spans="1:10" x14ac:dyDescent="0.2">
      <c r="A610" s="1" t="str">
        <f>"12246-HQ-SML"</f>
        <v>12246-HQ-SML</v>
      </c>
      <c r="B610" s="5" t="s">
        <v>1279</v>
      </c>
      <c r="C610" s="5" t="s">
        <v>11</v>
      </c>
      <c r="D610" s="5" t="s">
        <v>570</v>
      </c>
      <c r="E610" s="5" t="s">
        <v>13</v>
      </c>
      <c r="F610" s="6">
        <v>39576.655555555553</v>
      </c>
      <c r="G610" s="7">
        <v>39811</v>
      </c>
      <c r="H610" s="7">
        <v>43462</v>
      </c>
      <c r="I610" s="5" t="s">
        <v>1280</v>
      </c>
      <c r="J610" s="5" t="str">
        <f>"Copperbelt, Lufwanyama"</f>
        <v>Copperbelt, Lufwanyama</v>
      </c>
    </row>
    <row r="611" spans="1:10" x14ac:dyDescent="0.2">
      <c r="A611" s="2" t="str">
        <f>"12340-HQ-SEL"</f>
        <v>12340-HQ-SEL</v>
      </c>
      <c r="B611" s="8" t="s">
        <v>1281</v>
      </c>
      <c r="C611" s="8" t="s">
        <v>34</v>
      </c>
      <c r="D611" s="8" t="s">
        <v>645</v>
      </c>
      <c r="E611" s="8" t="s">
        <v>72</v>
      </c>
      <c r="F611" s="9">
        <v>39583.441921296297</v>
      </c>
      <c r="G611" s="10">
        <v>41269</v>
      </c>
      <c r="H611" s="10">
        <v>43094</v>
      </c>
      <c r="I611" s="8" t="s">
        <v>1282</v>
      </c>
      <c r="J611" s="8" t="str">
        <f>"North Western, Kasempa"</f>
        <v>North Western, Kasempa</v>
      </c>
    </row>
    <row r="612" spans="1:10" x14ac:dyDescent="0.2">
      <c r="A612" s="1" t="str">
        <f>"12491-HQ-SML"</f>
        <v>12491-HQ-SML</v>
      </c>
      <c r="B612" s="5" t="s">
        <v>1283</v>
      </c>
      <c r="C612" s="5" t="s">
        <v>11</v>
      </c>
      <c r="D612" s="5" t="s">
        <v>51</v>
      </c>
      <c r="E612" s="5" t="s">
        <v>13</v>
      </c>
      <c r="F612" s="6">
        <v>39597.673611111109</v>
      </c>
      <c r="G612" s="7">
        <v>39783</v>
      </c>
      <c r="H612" s="7">
        <v>43434</v>
      </c>
      <c r="I612" s="5" t="s">
        <v>1284</v>
      </c>
      <c r="J612" s="5" t="str">
        <f>"Central, Mumbwa"</f>
        <v>Central, Mumbwa</v>
      </c>
    </row>
    <row r="613" spans="1:10" x14ac:dyDescent="0.2">
      <c r="A613" s="2" t="str">
        <f>"12600-HQ-AMR"</f>
        <v>12600-HQ-AMR</v>
      </c>
      <c r="B613" s="8" t="s">
        <v>1285</v>
      </c>
      <c r="C613" s="8" t="s">
        <v>19</v>
      </c>
      <c r="D613" s="8" t="s">
        <v>1286</v>
      </c>
      <c r="E613" s="8" t="s">
        <v>72</v>
      </c>
      <c r="F613" s="9">
        <v>39619.474305555559</v>
      </c>
      <c r="G613" s="10">
        <v>40151</v>
      </c>
      <c r="H613" s="10">
        <v>43091</v>
      </c>
      <c r="I613" s="8" t="s">
        <v>1287</v>
      </c>
      <c r="J613" s="8" t="str">
        <f>"Southern, Mazabuka"</f>
        <v>Southern, Mazabuka</v>
      </c>
    </row>
    <row r="614" spans="1:10" x14ac:dyDescent="0.2">
      <c r="A614" s="1" t="str">
        <f>"12638-HQ-SML"</f>
        <v>12638-HQ-SML</v>
      </c>
      <c r="B614" s="5" t="s">
        <v>1288</v>
      </c>
      <c r="C614" s="5" t="s">
        <v>11</v>
      </c>
      <c r="D614" s="5" t="s">
        <v>1289</v>
      </c>
      <c r="E614" s="5" t="s">
        <v>13</v>
      </c>
      <c r="F614" s="6">
        <v>39631.395138888889</v>
      </c>
      <c r="G614" s="7">
        <v>39785</v>
      </c>
      <c r="H614" s="7">
        <v>43436</v>
      </c>
      <c r="I614" s="5" t="s">
        <v>1290</v>
      </c>
      <c r="J614" s="5" t="str">
        <f>""</f>
        <v/>
      </c>
    </row>
    <row r="615" spans="1:10" x14ac:dyDescent="0.2">
      <c r="A615" s="2" t="str">
        <f>"12648-HQ-SML"</f>
        <v>12648-HQ-SML</v>
      </c>
      <c r="B615" s="8" t="s">
        <v>1291</v>
      </c>
      <c r="C615" s="8" t="s">
        <v>11</v>
      </c>
      <c r="D615" s="8" t="s">
        <v>1292</v>
      </c>
      <c r="E615" s="8" t="s">
        <v>13</v>
      </c>
      <c r="F615" s="9">
        <v>39639.630555555559</v>
      </c>
      <c r="G615" s="10">
        <v>39794</v>
      </c>
      <c r="H615" s="10">
        <v>43445</v>
      </c>
      <c r="I615" s="8" t="s">
        <v>1293</v>
      </c>
      <c r="J615" s="8" t="str">
        <f>"North Western, Mwinilunga"</f>
        <v>North Western, Mwinilunga</v>
      </c>
    </row>
    <row r="616" spans="1:10" x14ac:dyDescent="0.2">
      <c r="A616" s="1" t="str">
        <f>"12658-HQ-SML"</f>
        <v>12658-HQ-SML</v>
      </c>
      <c r="B616" s="5" t="s">
        <v>1294</v>
      </c>
      <c r="C616" s="5" t="s">
        <v>11</v>
      </c>
      <c r="D616" s="5" t="s">
        <v>570</v>
      </c>
      <c r="E616" s="5" t="s">
        <v>13</v>
      </c>
      <c r="F616" s="6">
        <v>39640.486111111109</v>
      </c>
      <c r="G616" s="7">
        <v>39744</v>
      </c>
      <c r="H616" s="7">
        <v>43395</v>
      </c>
      <c r="I616" s="5" t="s">
        <v>1295</v>
      </c>
      <c r="J616" s="5" t="str">
        <f>"Copperbelt"</f>
        <v>Copperbelt</v>
      </c>
    </row>
    <row r="617" spans="1:10" x14ac:dyDescent="0.2">
      <c r="A617" s="2" t="str">
        <f>"12842-HQ-LPL"</f>
        <v>12842-HQ-LPL</v>
      </c>
      <c r="B617" s="8" t="s">
        <v>1296</v>
      </c>
      <c r="C617" s="8" t="s">
        <v>1297</v>
      </c>
      <c r="D617" s="8" t="s">
        <v>1262</v>
      </c>
      <c r="E617" s="8" t="s">
        <v>72</v>
      </c>
      <c r="F617" s="9">
        <v>39695.40625</v>
      </c>
      <c r="G617" s="10">
        <v>39826</v>
      </c>
      <c r="H617" s="10">
        <v>42747</v>
      </c>
      <c r="I617" s="8" t="s">
        <v>1298</v>
      </c>
      <c r="J617" s="8" t="str">
        <f>"Copperbelt, Lufwanyama, Mpongwe"</f>
        <v>Copperbelt, Lufwanyama, Mpongwe</v>
      </c>
    </row>
    <row r="618" spans="1:10" x14ac:dyDescent="0.2">
      <c r="A618" s="1" t="str">
        <f>"12865-HQ-SML"</f>
        <v>12865-HQ-SML</v>
      </c>
      <c r="B618" s="5" t="s">
        <v>1299</v>
      </c>
      <c r="C618" s="5" t="s">
        <v>11</v>
      </c>
      <c r="D618" s="5" t="s">
        <v>1300</v>
      </c>
      <c r="E618" s="5" t="s">
        <v>13</v>
      </c>
      <c r="F618" s="6">
        <v>39696.665972222225</v>
      </c>
      <c r="G618" s="7">
        <v>39804</v>
      </c>
      <c r="H618" s="7">
        <v>43455</v>
      </c>
      <c r="I618" s="5" t="s">
        <v>1301</v>
      </c>
      <c r="J618" s="5" t="str">
        <f>""</f>
        <v/>
      </c>
    </row>
    <row r="619" spans="1:10" x14ac:dyDescent="0.2">
      <c r="A619" s="2" t="str">
        <f>"12869-HQ-SML"</f>
        <v>12869-HQ-SML</v>
      </c>
      <c r="B619" s="8" t="s">
        <v>1302</v>
      </c>
      <c r="C619" s="8" t="s">
        <v>11</v>
      </c>
      <c r="D619" s="8" t="s">
        <v>156</v>
      </c>
      <c r="E619" s="8" t="s">
        <v>13</v>
      </c>
      <c r="F619" s="9">
        <v>39699.638194444444</v>
      </c>
      <c r="G619" s="10">
        <v>39743</v>
      </c>
      <c r="H619" s="10">
        <v>43394</v>
      </c>
      <c r="I619" s="8" t="s">
        <v>1303</v>
      </c>
      <c r="J619" s="8" t="str">
        <f>"Luapula, Mansa"</f>
        <v>Luapula, Mansa</v>
      </c>
    </row>
    <row r="620" spans="1:10" x14ac:dyDescent="0.2">
      <c r="A620" s="1" t="str">
        <f>"12870-HQ-SML"</f>
        <v>12870-HQ-SML</v>
      </c>
      <c r="B620" s="5" t="s">
        <v>1304</v>
      </c>
      <c r="C620" s="5" t="s">
        <v>11</v>
      </c>
      <c r="D620" s="5" t="s">
        <v>102</v>
      </c>
      <c r="E620" s="5" t="s">
        <v>13</v>
      </c>
      <c r="F620" s="6">
        <v>39699.643483796295</v>
      </c>
      <c r="G620" s="7">
        <v>39743</v>
      </c>
      <c r="H620" s="7">
        <v>43394</v>
      </c>
      <c r="I620" s="5" t="s">
        <v>1305</v>
      </c>
      <c r="J620" s="5" t="str">
        <f>"Luapula, Mwense"</f>
        <v>Luapula, Mwense</v>
      </c>
    </row>
    <row r="621" spans="1:10" x14ac:dyDescent="0.2">
      <c r="A621" s="2" t="str">
        <f>"12871-HQ-SML"</f>
        <v>12871-HQ-SML</v>
      </c>
      <c r="B621" s="8" t="s">
        <v>1302</v>
      </c>
      <c r="C621" s="8" t="s">
        <v>11</v>
      </c>
      <c r="D621" s="8" t="s">
        <v>1306</v>
      </c>
      <c r="E621" s="8" t="s">
        <v>13</v>
      </c>
      <c r="F621" s="9">
        <v>39699.643055555556</v>
      </c>
      <c r="G621" s="10">
        <v>39672</v>
      </c>
      <c r="H621" s="10">
        <v>43323</v>
      </c>
      <c r="I621" s="8" t="s">
        <v>1307</v>
      </c>
      <c r="J621" s="8" t="str">
        <f>""</f>
        <v/>
      </c>
    </row>
    <row r="622" spans="1:10" x14ac:dyDescent="0.2">
      <c r="A622" s="1" t="str">
        <f>"12976-HQ-LEL"</f>
        <v>12976-HQ-LEL</v>
      </c>
      <c r="B622" s="5" t="s">
        <v>1308</v>
      </c>
      <c r="C622" s="5" t="s">
        <v>15</v>
      </c>
      <c r="D622" s="5" t="s">
        <v>1309</v>
      </c>
      <c r="E622" s="5" t="s">
        <v>72</v>
      </c>
      <c r="F622" s="6">
        <v>39730.555555555555</v>
      </c>
      <c r="G622" s="7">
        <v>40465</v>
      </c>
      <c r="H622" s="7">
        <v>43021</v>
      </c>
      <c r="I622" s="5" t="s">
        <v>1310</v>
      </c>
      <c r="J622" s="5" t="str">
        <f>"North Western, Kasempa"</f>
        <v>North Western, Kasempa</v>
      </c>
    </row>
    <row r="623" spans="1:10" x14ac:dyDescent="0.2">
      <c r="A623" s="2" t="str">
        <f>"13329-HQ-SML"</f>
        <v>13329-HQ-SML</v>
      </c>
      <c r="B623" s="8" t="s">
        <v>1181</v>
      </c>
      <c r="C623" s="8" t="s">
        <v>11</v>
      </c>
      <c r="D623" s="8" t="s">
        <v>1311</v>
      </c>
      <c r="E623" s="8" t="s">
        <v>13</v>
      </c>
      <c r="F623" s="9">
        <v>39219.620138888888</v>
      </c>
      <c r="G623" s="10">
        <v>39329</v>
      </c>
      <c r="H623" s="10">
        <v>42981</v>
      </c>
      <c r="I623" s="8" t="s">
        <v>1312</v>
      </c>
      <c r="J623" s="8" t="str">
        <f>"Central, Mumbwa"</f>
        <v>Central, Mumbwa</v>
      </c>
    </row>
    <row r="624" spans="1:10" x14ac:dyDescent="0.2">
      <c r="A624" s="1" t="str">
        <f>"13423-HQ-SEL"</f>
        <v>13423-HQ-SEL</v>
      </c>
      <c r="B624" s="5" t="s">
        <v>1313</v>
      </c>
      <c r="C624" s="5" t="s">
        <v>34</v>
      </c>
      <c r="D624" s="5" t="s">
        <v>167</v>
      </c>
      <c r="E624" s="5" t="s">
        <v>13</v>
      </c>
      <c r="F624" s="6">
        <v>39903.445347222223</v>
      </c>
      <c r="G624" s="7">
        <v>41514</v>
      </c>
      <c r="H624" s="7">
        <v>43339</v>
      </c>
      <c r="I624" s="5" t="s">
        <v>1314</v>
      </c>
      <c r="J624" s="5" t="str">
        <f>"Eastern, Lundazi"</f>
        <v>Eastern, Lundazi</v>
      </c>
    </row>
    <row r="625" spans="1:10" x14ac:dyDescent="0.2">
      <c r="A625" s="2" t="str">
        <f>"13490-HQ-SML"</f>
        <v>13490-HQ-SML</v>
      </c>
      <c r="B625" s="8" t="s">
        <v>1315</v>
      </c>
      <c r="C625" s="8" t="s">
        <v>11</v>
      </c>
      <c r="D625" s="8" t="s">
        <v>978</v>
      </c>
      <c r="E625" s="8" t="s">
        <v>13</v>
      </c>
      <c r="F625" s="9">
        <v>33696.683437500003</v>
      </c>
      <c r="G625" s="10">
        <v>35494</v>
      </c>
      <c r="H625" s="10">
        <v>42798</v>
      </c>
      <c r="I625" s="8" t="s">
        <v>1316</v>
      </c>
      <c r="J625" s="8" t="str">
        <f>"Southern, Itezhi Tezhi"</f>
        <v>Southern, Itezhi Tezhi</v>
      </c>
    </row>
    <row r="626" spans="1:10" x14ac:dyDescent="0.2">
      <c r="A626" s="1" t="str">
        <f>"13520-HQ-LEL"</f>
        <v>13520-HQ-LEL</v>
      </c>
      <c r="B626" s="5" t="s">
        <v>1317</v>
      </c>
      <c r="C626" s="5" t="s">
        <v>15</v>
      </c>
      <c r="D626" s="5" t="s">
        <v>1318</v>
      </c>
      <c r="E626" s="5" t="s">
        <v>72</v>
      </c>
      <c r="F626" s="6">
        <v>39903.772916666669</v>
      </c>
      <c r="G626" s="7">
        <v>40358</v>
      </c>
      <c r="H626" s="7">
        <v>42913</v>
      </c>
      <c r="I626" s="5" t="s">
        <v>2277</v>
      </c>
      <c r="J626" s="5" t="str">
        <f>"Luapula, Mansa"</f>
        <v>Luapula, Mansa</v>
      </c>
    </row>
    <row r="627" spans="1:10" x14ac:dyDescent="0.2">
      <c r="A627" s="2" t="str">
        <f>"13588-HQ-SEL"</f>
        <v>13588-HQ-SEL</v>
      </c>
      <c r="B627" s="8" t="s">
        <v>1319</v>
      </c>
      <c r="C627" s="8" t="s">
        <v>34</v>
      </c>
      <c r="D627" s="8" t="s">
        <v>813</v>
      </c>
      <c r="E627" s="8" t="s">
        <v>72</v>
      </c>
      <c r="F627" s="9">
        <v>39938.38958333333</v>
      </c>
      <c r="G627" s="10">
        <v>41011</v>
      </c>
      <c r="H627" s="10">
        <v>42836</v>
      </c>
      <c r="I627" s="8" t="s">
        <v>1320</v>
      </c>
      <c r="J627" s="8" t="str">
        <f>""</f>
        <v/>
      </c>
    </row>
    <row r="628" spans="1:10" x14ac:dyDescent="0.2">
      <c r="A628" s="1" t="str">
        <f>"13734-HQ-SEL"</f>
        <v>13734-HQ-SEL</v>
      </c>
      <c r="B628" s="5" t="s">
        <v>1321</v>
      </c>
      <c r="C628" s="5" t="s">
        <v>34</v>
      </c>
      <c r="D628" s="5" t="s">
        <v>51</v>
      </c>
      <c r="E628" s="5" t="s">
        <v>13</v>
      </c>
      <c r="F628" s="6">
        <v>40010.628958333335</v>
      </c>
      <c r="G628" s="7">
        <v>41453</v>
      </c>
      <c r="H628" s="7">
        <v>43278</v>
      </c>
      <c r="I628" s="5" t="s">
        <v>1322</v>
      </c>
      <c r="J628" s="5" t="str">
        <f>"Central, Mumbwa"</f>
        <v>Central, Mumbwa</v>
      </c>
    </row>
    <row r="629" spans="1:10" x14ac:dyDescent="0.2">
      <c r="A629" s="2" t="str">
        <f>"13819-HQ-LPL"</f>
        <v>13819-HQ-LPL</v>
      </c>
      <c r="B629" s="8" t="s">
        <v>1323</v>
      </c>
      <c r="C629" s="8" t="s">
        <v>1297</v>
      </c>
      <c r="D629" s="8" t="s">
        <v>1324</v>
      </c>
      <c r="E629" s="8" t="s">
        <v>13</v>
      </c>
      <c r="F629" s="9">
        <v>40017.533333333333</v>
      </c>
      <c r="G629" s="10">
        <v>40191</v>
      </c>
      <c r="H629" s="10">
        <v>42747</v>
      </c>
      <c r="I629" s="8" t="s">
        <v>2278</v>
      </c>
      <c r="J629" s="8" t="str">
        <f>""</f>
        <v/>
      </c>
    </row>
    <row r="630" spans="1:10" x14ac:dyDescent="0.2">
      <c r="A630" s="1" t="str">
        <f>"13830-HQ-SML"</f>
        <v>13830-HQ-SML</v>
      </c>
      <c r="B630" s="5" t="s">
        <v>1325</v>
      </c>
      <c r="C630" s="5" t="s">
        <v>11</v>
      </c>
      <c r="D630" s="5" t="s">
        <v>51</v>
      </c>
      <c r="E630" s="5" t="s">
        <v>13</v>
      </c>
      <c r="F630" s="6">
        <v>39185.666666666664</v>
      </c>
      <c r="G630" s="7">
        <v>39483</v>
      </c>
      <c r="H630" s="7">
        <v>43135</v>
      </c>
      <c r="I630" s="5" t="s">
        <v>1326</v>
      </c>
      <c r="J630" s="5" t="str">
        <f>""</f>
        <v/>
      </c>
    </row>
    <row r="631" spans="1:10" x14ac:dyDescent="0.2">
      <c r="A631" s="2" t="str">
        <f>" 13863-HQ-LEL"</f>
        <v xml:space="preserve"> 13863-HQ-LEL</v>
      </c>
      <c r="B631" s="8" t="s">
        <v>1327</v>
      </c>
      <c r="C631" s="8" t="s">
        <v>15</v>
      </c>
      <c r="D631" s="8" t="s">
        <v>1328</v>
      </c>
      <c r="E631" s="8" t="s">
        <v>72</v>
      </c>
      <c r="F631" s="9">
        <v>40030.681250000001</v>
      </c>
      <c r="G631" s="10">
        <v>40351</v>
      </c>
      <c r="H631" s="10">
        <v>42906</v>
      </c>
      <c r="I631" s="8" t="s">
        <v>1329</v>
      </c>
      <c r="J631" s="8" t="str">
        <f>"Central, Serenje"</f>
        <v>Central, Serenje</v>
      </c>
    </row>
    <row r="632" spans="1:10" x14ac:dyDescent="0.2">
      <c r="A632" s="1" t="str">
        <f>"13871-HQ-LEL"</f>
        <v>13871-HQ-LEL</v>
      </c>
      <c r="B632" s="5" t="s">
        <v>1327</v>
      </c>
      <c r="C632" s="5" t="s">
        <v>15</v>
      </c>
      <c r="D632" s="5" t="s">
        <v>1328</v>
      </c>
      <c r="E632" s="5" t="s">
        <v>13</v>
      </c>
      <c r="F632" s="6">
        <v>40030.697222222225</v>
      </c>
      <c r="G632" s="7">
        <v>40760</v>
      </c>
      <c r="H632" s="7">
        <v>42951</v>
      </c>
      <c r="I632" s="5" t="s">
        <v>2279</v>
      </c>
      <c r="J632" s="5" t="str">
        <f>"Central, Kapiri Mposhi"</f>
        <v>Central, Kapiri Mposhi</v>
      </c>
    </row>
    <row r="633" spans="1:10" x14ac:dyDescent="0.2">
      <c r="A633" s="2" t="str">
        <f>"14078-HQ-LEL"</f>
        <v>14078-HQ-LEL</v>
      </c>
      <c r="B633" s="8" t="s">
        <v>1330</v>
      </c>
      <c r="C633" s="8" t="s">
        <v>15</v>
      </c>
      <c r="D633" s="8" t="s">
        <v>1331</v>
      </c>
      <c r="E633" s="8" t="s">
        <v>72</v>
      </c>
      <c r="F633" s="9">
        <v>40099.615972222222</v>
      </c>
      <c r="G633" s="10">
        <v>41922</v>
      </c>
      <c r="H633" s="10">
        <v>43383</v>
      </c>
      <c r="I633" s="8" t="s">
        <v>1332</v>
      </c>
      <c r="J633" s="8" t="str">
        <f>"Eastern, Petauke"</f>
        <v>Eastern, Petauke</v>
      </c>
    </row>
    <row r="634" spans="1:10" x14ac:dyDescent="0.2">
      <c r="A634" s="1" t="str">
        <f>"14163-HQ-SEL"</f>
        <v>14163-HQ-SEL</v>
      </c>
      <c r="B634" s="5" t="s">
        <v>1333</v>
      </c>
      <c r="C634" s="5" t="s">
        <v>34</v>
      </c>
      <c r="D634" s="5" t="s">
        <v>28</v>
      </c>
      <c r="E634" s="5" t="s">
        <v>72</v>
      </c>
      <c r="F634" s="6">
        <v>40121.560416666667</v>
      </c>
      <c r="G634" s="7">
        <v>41218</v>
      </c>
      <c r="H634" s="7">
        <v>43043</v>
      </c>
      <c r="I634" s="5" t="s">
        <v>1334</v>
      </c>
      <c r="J634" s="5" t="str">
        <f>"Copperbelt, Mufulira"</f>
        <v>Copperbelt, Mufulira</v>
      </c>
    </row>
    <row r="635" spans="1:10" x14ac:dyDescent="0.2">
      <c r="A635" s="2" t="str">
        <f>"14171-HQ-SEL"</f>
        <v>14171-HQ-SEL</v>
      </c>
      <c r="B635" s="8" t="s">
        <v>1335</v>
      </c>
      <c r="C635" s="8" t="s">
        <v>34</v>
      </c>
      <c r="D635" s="8" t="s">
        <v>28</v>
      </c>
      <c r="E635" s="8" t="s">
        <v>72</v>
      </c>
      <c r="F635" s="9">
        <v>40135.647916666669</v>
      </c>
      <c r="G635" s="10">
        <v>41278</v>
      </c>
      <c r="H635" s="10">
        <v>43103</v>
      </c>
      <c r="I635" s="8" t="s">
        <v>1336</v>
      </c>
      <c r="J635" s="8" t="str">
        <f>"Northern, Mbala"</f>
        <v>Northern, Mbala</v>
      </c>
    </row>
    <row r="636" spans="1:10" x14ac:dyDescent="0.2">
      <c r="A636" s="1" t="str">
        <f>"14174-HQ-LEL"</f>
        <v>14174-HQ-LEL</v>
      </c>
      <c r="B636" s="5" t="s">
        <v>1337</v>
      </c>
      <c r="C636" s="5" t="s">
        <v>15</v>
      </c>
      <c r="D636" s="5" t="s">
        <v>1338</v>
      </c>
      <c r="E636" s="5" t="s">
        <v>72</v>
      </c>
      <c r="F636" s="6">
        <v>40136.649305555555</v>
      </c>
      <c r="G636" s="7">
        <v>40249</v>
      </c>
      <c r="H636" s="7">
        <v>42966</v>
      </c>
      <c r="I636" s="5" t="s">
        <v>1339</v>
      </c>
      <c r="J636" s="5" t="str">
        <f>"Copperbelt, Chililabombwe"</f>
        <v>Copperbelt, Chililabombwe</v>
      </c>
    </row>
    <row r="637" spans="1:10" x14ac:dyDescent="0.2">
      <c r="A637" s="2" t="str">
        <f>"14231-HQ-SEL"</f>
        <v>14231-HQ-SEL</v>
      </c>
      <c r="B637" s="8" t="s">
        <v>1340</v>
      </c>
      <c r="C637" s="8" t="s">
        <v>34</v>
      </c>
      <c r="D637" s="8" t="s">
        <v>645</v>
      </c>
      <c r="E637" s="8" t="s">
        <v>72</v>
      </c>
      <c r="F637" s="9">
        <v>40154.496527777781</v>
      </c>
      <c r="G637" s="10">
        <v>41264</v>
      </c>
      <c r="H637" s="10">
        <v>43089</v>
      </c>
      <c r="I637" s="8" t="s">
        <v>1341</v>
      </c>
      <c r="J637" s="8" t="str">
        <f>"Central, Mumbwa"</f>
        <v>Central, Mumbwa</v>
      </c>
    </row>
    <row r="638" spans="1:10" ht="22.5" x14ac:dyDescent="0.2">
      <c r="A638" s="1" t="str">
        <f>"14265-HQ-LEL"</f>
        <v>14265-HQ-LEL</v>
      </c>
      <c r="B638" s="5" t="s">
        <v>1342</v>
      </c>
      <c r="C638" s="5" t="s">
        <v>15</v>
      </c>
      <c r="D638" s="5" t="s">
        <v>1343</v>
      </c>
      <c r="E638" s="5" t="s">
        <v>55</v>
      </c>
      <c r="F638" s="6">
        <v>40158.65902777778</v>
      </c>
      <c r="G638" s="7">
        <v>40710</v>
      </c>
      <c r="H638" s="7">
        <v>43266</v>
      </c>
      <c r="I638" s="5" t="s">
        <v>2280</v>
      </c>
      <c r="J638" s="5" t="str">
        <f>"Central, Mumbwa"</f>
        <v>Central, Mumbwa</v>
      </c>
    </row>
    <row r="639" spans="1:10" x14ac:dyDescent="0.2">
      <c r="A639" s="2" t="str">
        <f>" 14266-HQ-LEL"</f>
        <v xml:space="preserve"> 14266-HQ-LEL</v>
      </c>
      <c r="B639" s="8" t="s">
        <v>1342</v>
      </c>
      <c r="C639" s="8" t="s">
        <v>15</v>
      </c>
      <c r="D639" s="8" t="s">
        <v>51</v>
      </c>
      <c r="E639" s="8" t="s">
        <v>55</v>
      </c>
      <c r="F639" s="9">
        <v>40158.660416666666</v>
      </c>
      <c r="G639" s="10">
        <v>40732</v>
      </c>
      <c r="H639" s="10">
        <v>43288</v>
      </c>
      <c r="I639" s="8" t="s">
        <v>1344</v>
      </c>
      <c r="J639" s="8" t="str">
        <f>"Central, Mumbwa"</f>
        <v>Central, Mumbwa</v>
      </c>
    </row>
    <row r="640" spans="1:10" x14ac:dyDescent="0.2">
      <c r="A640" s="1" t="str">
        <f>"14293-HQ-SEL"</f>
        <v>14293-HQ-SEL</v>
      </c>
      <c r="B640" s="5" t="s">
        <v>1345</v>
      </c>
      <c r="C640" s="5" t="s">
        <v>34</v>
      </c>
      <c r="D640" s="5" t="s">
        <v>58</v>
      </c>
      <c r="E640" s="5" t="s">
        <v>13</v>
      </c>
      <c r="F640" s="6">
        <v>40168.482638888891</v>
      </c>
      <c r="G640" s="7">
        <v>41277</v>
      </c>
      <c r="H640" s="7">
        <v>43102</v>
      </c>
      <c r="I640" s="5" t="s">
        <v>1346</v>
      </c>
      <c r="J640" s="5" t="str">
        <f>"Lusaka, Kafue"</f>
        <v>Lusaka, Kafue</v>
      </c>
    </row>
    <row r="641" spans="1:10" x14ac:dyDescent="0.2">
      <c r="A641" s="2" t="str">
        <f>"14505-HQ-SEL"</f>
        <v>14505-HQ-SEL</v>
      </c>
      <c r="B641" s="8" t="s">
        <v>1347</v>
      </c>
      <c r="C641" s="8" t="s">
        <v>34</v>
      </c>
      <c r="D641" s="8" t="s">
        <v>1348</v>
      </c>
      <c r="E641" s="8" t="s">
        <v>72</v>
      </c>
      <c r="F641" s="9">
        <v>40261.45003472222</v>
      </c>
      <c r="G641" s="10">
        <v>41240</v>
      </c>
      <c r="H641" s="10">
        <v>43065</v>
      </c>
      <c r="I641" s="8" t="s">
        <v>1349</v>
      </c>
      <c r="J641" s="8" t="str">
        <f>"Southern, Livingstone"</f>
        <v>Southern, Livingstone</v>
      </c>
    </row>
    <row r="642" spans="1:10" x14ac:dyDescent="0.2">
      <c r="A642" s="1" t="str">
        <f>"14522-HQ-LEL"</f>
        <v>14522-HQ-LEL</v>
      </c>
      <c r="B642" s="5" t="s">
        <v>1350</v>
      </c>
      <c r="C642" s="5" t="s">
        <v>15</v>
      </c>
      <c r="D642" s="5" t="s">
        <v>1351</v>
      </c>
      <c r="E642" s="5" t="s">
        <v>72</v>
      </c>
      <c r="F642" s="6">
        <v>40267.515196759261</v>
      </c>
      <c r="G642" s="7">
        <v>40387</v>
      </c>
      <c r="H642" s="7">
        <v>42943</v>
      </c>
      <c r="I642" s="5" t="s">
        <v>2281</v>
      </c>
      <c r="J642" s="5" t="str">
        <f>"Central, Kabwe, Chipepo; Kapiri Mposhi"</f>
        <v>Central, Kabwe, Chipepo; Kapiri Mposhi</v>
      </c>
    </row>
    <row r="643" spans="1:10" x14ac:dyDescent="0.2">
      <c r="A643" s="2" t="str">
        <f>"14523-HQ-LEL"</f>
        <v>14523-HQ-LEL</v>
      </c>
      <c r="B643" s="8" t="s">
        <v>1352</v>
      </c>
      <c r="C643" s="8" t="s">
        <v>15</v>
      </c>
      <c r="D643" s="8" t="s">
        <v>38</v>
      </c>
      <c r="E643" s="8" t="s">
        <v>489</v>
      </c>
      <c r="F643" s="9">
        <v>40267.445219907408</v>
      </c>
      <c r="G643" s="10">
        <v>40823</v>
      </c>
      <c r="H643" s="10">
        <v>43014</v>
      </c>
      <c r="I643" s="8" t="s">
        <v>1353</v>
      </c>
      <c r="J643" s="8" t="str">
        <f>"Southern, Choma, Kalomo, Sinazongwe"</f>
        <v>Southern, Choma, Kalomo, Sinazongwe</v>
      </c>
    </row>
    <row r="644" spans="1:10" x14ac:dyDescent="0.2">
      <c r="A644" s="1" t="str">
        <f>"14538-HQ-LEL"</f>
        <v>14538-HQ-LEL</v>
      </c>
      <c r="B644" s="5" t="s">
        <v>1354</v>
      </c>
      <c r="C644" s="5" t="s">
        <v>15</v>
      </c>
      <c r="D644" s="5" t="s">
        <v>1355</v>
      </c>
      <c r="E644" s="5" t="s">
        <v>489</v>
      </c>
      <c r="F644" s="6">
        <v>40268.770138888889</v>
      </c>
      <c r="G644" s="7">
        <v>40464</v>
      </c>
      <c r="H644" s="7">
        <v>43020</v>
      </c>
      <c r="I644" s="5" t="s">
        <v>2282</v>
      </c>
      <c r="J644" s="5" t="str">
        <f>"North Western, Kabompo, Zambezi"</f>
        <v>North Western, Kabompo, Zambezi</v>
      </c>
    </row>
    <row r="645" spans="1:10" x14ac:dyDescent="0.2">
      <c r="A645" s="2" t="str">
        <f>"14565-HQ-SEL"</f>
        <v>14565-HQ-SEL</v>
      </c>
      <c r="B645" s="8" t="s">
        <v>1356</v>
      </c>
      <c r="C645" s="8" t="s">
        <v>34</v>
      </c>
      <c r="D645" s="8" t="s">
        <v>51</v>
      </c>
      <c r="E645" s="8" t="s">
        <v>72</v>
      </c>
      <c r="F645" s="9">
        <v>40280.536111111112</v>
      </c>
      <c r="G645" s="10">
        <v>41100</v>
      </c>
      <c r="H645" s="10">
        <v>42925</v>
      </c>
      <c r="I645" s="8" t="s">
        <v>1357</v>
      </c>
      <c r="J645" s="8" t="str">
        <f>"North Western, Kasempa"</f>
        <v>North Western, Kasempa</v>
      </c>
    </row>
    <row r="646" spans="1:10" x14ac:dyDescent="0.2">
      <c r="A646" s="1" t="str">
        <f>"14644-HQ-SEL"</f>
        <v>14644-HQ-SEL</v>
      </c>
      <c r="B646" s="5" t="s">
        <v>1358</v>
      </c>
      <c r="C646" s="5" t="s">
        <v>34</v>
      </c>
      <c r="D646" s="5" t="s">
        <v>850</v>
      </c>
      <c r="E646" s="5" t="s">
        <v>72</v>
      </c>
      <c r="F646" s="6">
        <v>40656.429502314815</v>
      </c>
      <c r="G646" s="7">
        <v>41128</v>
      </c>
      <c r="H646" s="7">
        <v>42953</v>
      </c>
      <c r="I646" s="5" t="s">
        <v>1359</v>
      </c>
      <c r="J646" s="5" t="str">
        <f>"Central, Kapiri Mposhi"</f>
        <v>Central, Kapiri Mposhi</v>
      </c>
    </row>
    <row r="647" spans="1:10" x14ac:dyDescent="0.2">
      <c r="A647" s="2" t="str">
        <f>"14644-HQ-SPP"</f>
        <v>14644-HQ-SPP</v>
      </c>
      <c r="B647" s="8" t="s">
        <v>1358</v>
      </c>
      <c r="C647" s="8" t="s">
        <v>1360</v>
      </c>
      <c r="D647" s="8" t="s">
        <v>850</v>
      </c>
      <c r="E647" s="8" t="s">
        <v>72</v>
      </c>
      <c r="F647" s="9">
        <v>40656.655162037037</v>
      </c>
      <c r="G647" s="10">
        <v>41128</v>
      </c>
      <c r="H647" s="10">
        <v>42953</v>
      </c>
      <c r="I647" s="8" t="s">
        <v>1361</v>
      </c>
      <c r="J647" s="8" t="str">
        <f>"Central, Kapiri Mposhi"</f>
        <v>Central, Kapiri Mposhi</v>
      </c>
    </row>
    <row r="648" spans="1:10" x14ac:dyDescent="0.2">
      <c r="A648" s="1" t="str">
        <f>"14681-HQ-LPL"</f>
        <v>14681-HQ-LPL</v>
      </c>
      <c r="B648" s="5" t="s">
        <v>1362</v>
      </c>
      <c r="C648" s="5" t="s">
        <v>1297</v>
      </c>
      <c r="D648" s="5" t="s">
        <v>1363</v>
      </c>
      <c r="E648" s="5" t="s">
        <v>72</v>
      </c>
      <c r="F648" s="6">
        <v>40302.536909722221</v>
      </c>
      <c r="G648" s="7">
        <v>41278</v>
      </c>
      <c r="H648" s="7">
        <v>42738</v>
      </c>
      <c r="I648" s="5" t="s">
        <v>1364</v>
      </c>
      <c r="J648" s="5" t="str">
        <f>"North Western, Solwezi"</f>
        <v>North Western, Solwezi</v>
      </c>
    </row>
    <row r="649" spans="1:10" x14ac:dyDescent="0.2">
      <c r="A649" s="2" t="str">
        <f>"14682-HQ-LPL"</f>
        <v>14682-HQ-LPL</v>
      </c>
      <c r="B649" s="8" t="s">
        <v>1362</v>
      </c>
      <c r="C649" s="8" t="s">
        <v>1297</v>
      </c>
      <c r="D649" s="8" t="s">
        <v>1365</v>
      </c>
      <c r="E649" s="8" t="s">
        <v>72</v>
      </c>
      <c r="F649" s="9">
        <v>40303.420138888891</v>
      </c>
      <c r="G649" s="10">
        <v>41278</v>
      </c>
      <c r="H649" s="10">
        <v>42738</v>
      </c>
      <c r="I649" s="8" t="s">
        <v>1366</v>
      </c>
      <c r="J649" s="8" t="str">
        <f>"North Western, Mwinilunga"</f>
        <v>North Western, Mwinilunga</v>
      </c>
    </row>
    <row r="650" spans="1:10" x14ac:dyDescent="0.2">
      <c r="A650" s="1" t="str">
        <f>"14693-HQ-SEL"</f>
        <v>14693-HQ-SEL</v>
      </c>
      <c r="B650" s="5" t="s">
        <v>1367</v>
      </c>
      <c r="C650" s="5" t="s">
        <v>34</v>
      </c>
      <c r="D650" s="5" t="s">
        <v>28</v>
      </c>
      <c r="E650" s="5" t="s">
        <v>72</v>
      </c>
      <c r="F650" s="6">
        <v>40304.47152777778</v>
      </c>
      <c r="G650" s="7">
        <v>41122</v>
      </c>
      <c r="H650" s="7">
        <v>42947</v>
      </c>
      <c r="I650" s="5" t="s">
        <v>1368</v>
      </c>
      <c r="J650" s="5" t="str">
        <f>"Copperbelt, Kalulushi"</f>
        <v>Copperbelt, Kalulushi</v>
      </c>
    </row>
    <row r="651" spans="1:10" x14ac:dyDescent="0.2">
      <c r="A651" s="2" t="str">
        <f>"14805-HQ-LEL"</f>
        <v>14805-HQ-LEL</v>
      </c>
      <c r="B651" s="8" t="s">
        <v>1369</v>
      </c>
      <c r="C651" s="8" t="s">
        <v>15</v>
      </c>
      <c r="D651" s="8" t="s">
        <v>813</v>
      </c>
      <c r="E651" s="8" t="s">
        <v>13</v>
      </c>
      <c r="F651" s="9">
        <v>40339.531956018516</v>
      </c>
      <c r="G651" s="10">
        <v>41829</v>
      </c>
      <c r="H651" s="10">
        <v>43290</v>
      </c>
      <c r="I651" s="8" t="s">
        <v>1370</v>
      </c>
      <c r="J651" s="8" t="str">
        <f>"North Western, Kabompo"</f>
        <v>North Western, Kabompo</v>
      </c>
    </row>
    <row r="652" spans="1:10" x14ac:dyDescent="0.2">
      <c r="A652" s="1" t="str">
        <f>"14828-HQ-SEL"</f>
        <v>14828-HQ-SEL</v>
      </c>
      <c r="B652" s="5" t="s">
        <v>1371</v>
      </c>
      <c r="C652" s="5" t="s">
        <v>34</v>
      </c>
      <c r="D652" s="5" t="s">
        <v>626</v>
      </c>
      <c r="E652" s="5" t="s">
        <v>13</v>
      </c>
      <c r="F652" s="6">
        <v>40345.434525462966</v>
      </c>
      <c r="G652" s="7">
        <v>41505</v>
      </c>
      <c r="H652" s="7">
        <v>43330</v>
      </c>
      <c r="I652" s="5" t="s">
        <v>1372</v>
      </c>
      <c r="J652" s="5" t="str">
        <f>"North Western, Kasempa, Solwezi"</f>
        <v>North Western, Kasempa, Solwezi</v>
      </c>
    </row>
    <row r="653" spans="1:10" x14ac:dyDescent="0.2">
      <c r="A653" s="2" t="str">
        <f>"14888-HQ-LPL"</f>
        <v>14888-HQ-LPL</v>
      </c>
      <c r="B653" s="8" t="s">
        <v>1373</v>
      </c>
      <c r="C653" s="8" t="s">
        <v>1297</v>
      </c>
      <c r="D653" s="8" t="s">
        <v>74</v>
      </c>
      <c r="E653" s="8" t="s">
        <v>13</v>
      </c>
      <c r="F653" s="9">
        <v>40367.397916666669</v>
      </c>
      <c r="G653" s="10">
        <v>42151</v>
      </c>
      <c r="H653" s="10">
        <v>42881</v>
      </c>
      <c r="I653" s="8" t="s">
        <v>1374</v>
      </c>
      <c r="J653" s="8" t="str">
        <f>"Central, Chongwe, Mkushi; Lusaka, Chongwe"</f>
        <v>Central, Chongwe, Mkushi; Lusaka, Chongwe</v>
      </c>
    </row>
    <row r="654" spans="1:10" x14ac:dyDescent="0.2">
      <c r="A654" s="1" t="str">
        <f>"14895-HQ-SEL"</f>
        <v>14895-HQ-SEL</v>
      </c>
      <c r="B654" s="5" t="s">
        <v>1375</v>
      </c>
      <c r="C654" s="5" t="s">
        <v>34</v>
      </c>
      <c r="D654" s="5" t="s">
        <v>1306</v>
      </c>
      <c r="E654" s="5" t="s">
        <v>72</v>
      </c>
      <c r="F654" s="6">
        <v>40368.534722222219</v>
      </c>
      <c r="G654" s="7">
        <v>41428</v>
      </c>
      <c r="H654" s="7">
        <v>43253</v>
      </c>
      <c r="I654" s="5" t="s">
        <v>1376</v>
      </c>
      <c r="J654" s="5" t="str">
        <f>"Central, Mkushi"</f>
        <v>Central, Mkushi</v>
      </c>
    </row>
    <row r="655" spans="1:10" x14ac:dyDescent="0.2">
      <c r="A655" s="2" t="str">
        <f>" 14909-HQ-LEL"</f>
        <v xml:space="preserve"> 14909-HQ-LEL</v>
      </c>
      <c r="B655" s="8" t="s">
        <v>1274</v>
      </c>
      <c r="C655" s="8" t="s">
        <v>15</v>
      </c>
      <c r="D655" s="8" t="s">
        <v>102</v>
      </c>
      <c r="E655" s="8" t="s">
        <v>72</v>
      </c>
      <c r="F655" s="9">
        <v>40375.611111111109</v>
      </c>
      <c r="G655" s="10">
        <v>40441</v>
      </c>
      <c r="H655" s="10">
        <v>42997</v>
      </c>
      <c r="I655" s="8" t="s">
        <v>2283</v>
      </c>
      <c r="J655" s="8" t="str">
        <f>"Copperbelt, Mpongwe"</f>
        <v>Copperbelt, Mpongwe</v>
      </c>
    </row>
    <row r="656" spans="1:10" x14ac:dyDescent="0.2">
      <c r="A656" s="1" t="str">
        <f>"14911-HQ-LEL"</f>
        <v>14911-HQ-LEL</v>
      </c>
      <c r="B656" s="5" t="s">
        <v>1274</v>
      </c>
      <c r="C656" s="5" t="s">
        <v>15</v>
      </c>
      <c r="D656" s="5" t="s">
        <v>102</v>
      </c>
      <c r="E656" s="5" t="s">
        <v>72</v>
      </c>
      <c r="F656" s="6">
        <v>40375.615277777775</v>
      </c>
      <c r="G656" s="7">
        <v>40498</v>
      </c>
      <c r="H656" s="7">
        <v>43054</v>
      </c>
      <c r="I656" s="5" t="s">
        <v>1377</v>
      </c>
      <c r="J656" s="5" t="str">
        <f>"North Western, Solwezi"</f>
        <v>North Western, Solwezi</v>
      </c>
    </row>
    <row r="657" spans="1:10" x14ac:dyDescent="0.2">
      <c r="A657" s="2" t="str">
        <f>"14923-HQ-SEL"</f>
        <v>14923-HQ-SEL</v>
      </c>
      <c r="B657" s="8" t="s">
        <v>1378</v>
      </c>
      <c r="C657" s="8" t="s">
        <v>34</v>
      </c>
      <c r="D657" s="8" t="s">
        <v>102</v>
      </c>
      <c r="E657" s="8" t="s">
        <v>72</v>
      </c>
      <c r="F657" s="9">
        <v>40382.458333333336</v>
      </c>
      <c r="G657" s="10">
        <v>41080</v>
      </c>
      <c r="H657" s="10">
        <v>42905</v>
      </c>
      <c r="I657" s="8" t="s">
        <v>1379</v>
      </c>
      <c r="J657" s="8" t="str">
        <f>"North Western, Kasempa"</f>
        <v>North Western, Kasempa</v>
      </c>
    </row>
    <row r="658" spans="1:10" x14ac:dyDescent="0.2">
      <c r="A658" s="1" t="str">
        <f>"14925-HQ-SEL"</f>
        <v>14925-HQ-SEL</v>
      </c>
      <c r="B658" s="5" t="s">
        <v>1380</v>
      </c>
      <c r="C658" s="5" t="s">
        <v>34</v>
      </c>
      <c r="D658" s="5" t="s">
        <v>759</v>
      </c>
      <c r="E658" s="5" t="s">
        <v>72</v>
      </c>
      <c r="F658" s="6">
        <v>40382.46875</v>
      </c>
      <c r="G658" s="7">
        <v>41031</v>
      </c>
      <c r="H658" s="7">
        <v>42856</v>
      </c>
      <c r="I658" s="5" t="s">
        <v>1381</v>
      </c>
      <c r="J658" s="5" t="str">
        <f>"Lusaka, Chongwe"</f>
        <v>Lusaka, Chongwe</v>
      </c>
    </row>
    <row r="659" spans="1:10" x14ac:dyDescent="0.2">
      <c r="A659" s="2" t="str">
        <f>"14933-HQ-SEL"</f>
        <v>14933-HQ-SEL</v>
      </c>
      <c r="B659" s="8" t="s">
        <v>1382</v>
      </c>
      <c r="C659" s="8" t="s">
        <v>34</v>
      </c>
      <c r="D659" s="8" t="s">
        <v>1383</v>
      </c>
      <c r="E659" s="8" t="s">
        <v>72</v>
      </c>
      <c r="F659" s="9">
        <v>40387.40347222222</v>
      </c>
      <c r="G659" s="10">
        <v>41128</v>
      </c>
      <c r="H659" s="10">
        <v>42953</v>
      </c>
      <c r="I659" s="8" t="s">
        <v>1384</v>
      </c>
      <c r="J659" s="8" t="str">
        <f>"Copperbelt, Ndola"</f>
        <v>Copperbelt, Ndola</v>
      </c>
    </row>
    <row r="660" spans="1:10" x14ac:dyDescent="0.2">
      <c r="A660" s="1" t="str">
        <f>"14936-HQ-LEL"</f>
        <v>14936-HQ-LEL</v>
      </c>
      <c r="B660" s="5" t="s">
        <v>1385</v>
      </c>
      <c r="C660" s="5" t="s">
        <v>15</v>
      </c>
      <c r="D660" s="5" t="s">
        <v>102</v>
      </c>
      <c r="E660" s="5" t="s">
        <v>72</v>
      </c>
      <c r="F660" s="6">
        <v>40387.48333333333</v>
      </c>
      <c r="G660" s="7">
        <v>40620</v>
      </c>
      <c r="H660" s="7">
        <v>42811</v>
      </c>
      <c r="I660" s="5" t="s">
        <v>1386</v>
      </c>
      <c r="J660" s="5" t="str">
        <f>"North Western, Solwezi"</f>
        <v>North Western, Solwezi</v>
      </c>
    </row>
    <row r="661" spans="1:10" x14ac:dyDescent="0.2">
      <c r="A661" s="2" t="str">
        <f>"14953-HQ-LPL"</f>
        <v>14953-HQ-LPL</v>
      </c>
      <c r="B661" s="8" t="s">
        <v>1362</v>
      </c>
      <c r="C661" s="8" t="s">
        <v>1297</v>
      </c>
      <c r="D661" s="8" t="s">
        <v>1387</v>
      </c>
      <c r="E661" s="8" t="s">
        <v>72</v>
      </c>
      <c r="F661" s="9">
        <v>40388.670289351852</v>
      </c>
      <c r="G661" s="10">
        <v>41278</v>
      </c>
      <c r="H661" s="10">
        <v>42738</v>
      </c>
      <c r="I661" s="8" t="s">
        <v>1388</v>
      </c>
      <c r="J661" s="8" t="str">
        <f>"North Western, Mufumbwe; Western, Kaoma"</f>
        <v>North Western, Mufumbwe; Western, Kaoma</v>
      </c>
    </row>
    <row r="662" spans="1:10" x14ac:dyDescent="0.2">
      <c r="A662" s="1" t="str">
        <f>"15085-HQ-SPP"</f>
        <v>15085-HQ-SPP</v>
      </c>
      <c r="B662" s="5" t="s">
        <v>1389</v>
      </c>
      <c r="C662" s="5" t="s">
        <v>1360</v>
      </c>
      <c r="D662" s="5" t="s">
        <v>369</v>
      </c>
      <c r="E662" s="5" t="s">
        <v>72</v>
      </c>
      <c r="F662" s="6">
        <v>40422.616840277777</v>
      </c>
      <c r="G662" s="7">
        <v>41360</v>
      </c>
      <c r="H662" s="7">
        <v>43185</v>
      </c>
      <c r="I662" s="5" t="s">
        <v>1390</v>
      </c>
      <c r="J662" s="5" t="str">
        <f>"Eastern, Petauke"</f>
        <v>Eastern, Petauke</v>
      </c>
    </row>
    <row r="663" spans="1:10" x14ac:dyDescent="0.2">
      <c r="A663" s="2" t="str">
        <f>"15116-HQ-SEL"</f>
        <v>15116-HQ-SEL</v>
      </c>
      <c r="B663" s="8" t="s">
        <v>1391</v>
      </c>
      <c r="C663" s="8" t="s">
        <v>34</v>
      </c>
      <c r="D663" s="8" t="s">
        <v>51</v>
      </c>
      <c r="E663" s="8" t="s">
        <v>13</v>
      </c>
      <c r="F663" s="9">
        <v>40427.506145833337</v>
      </c>
      <c r="G663" s="10">
        <v>41626</v>
      </c>
      <c r="H663" s="10">
        <v>43451</v>
      </c>
      <c r="I663" s="8" t="s">
        <v>1392</v>
      </c>
      <c r="J663" s="8" t="str">
        <f>"North Western, Mwinilunga"</f>
        <v>North Western, Mwinilunga</v>
      </c>
    </row>
    <row r="664" spans="1:10" x14ac:dyDescent="0.2">
      <c r="A664" s="1" t="str">
        <f>"15118-HQ-LEL"</f>
        <v>15118-HQ-LEL</v>
      </c>
      <c r="B664" s="5" t="s">
        <v>1393</v>
      </c>
      <c r="C664" s="5" t="s">
        <v>15</v>
      </c>
      <c r="D664" s="5" t="s">
        <v>1394</v>
      </c>
      <c r="E664" s="5" t="s">
        <v>72</v>
      </c>
      <c r="F664" s="6">
        <v>40428.409722222219</v>
      </c>
      <c r="G664" s="7">
        <v>40487</v>
      </c>
      <c r="H664" s="7">
        <v>43043</v>
      </c>
      <c r="I664" s="5" t="s">
        <v>2284</v>
      </c>
      <c r="J664" s="5" t="str">
        <f>"North Western, Mwinilunga, Solwezi"</f>
        <v>North Western, Mwinilunga, Solwezi</v>
      </c>
    </row>
    <row r="665" spans="1:10" x14ac:dyDescent="0.2">
      <c r="A665" s="2" t="str">
        <f>" 15119-HQ-LEL"</f>
        <v xml:space="preserve"> 15119-HQ-LEL</v>
      </c>
      <c r="B665" s="8" t="s">
        <v>1393</v>
      </c>
      <c r="C665" s="8" t="s">
        <v>15</v>
      </c>
      <c r="D665" s="8" t="s">
        <v>1395</v>
      </c>
      <c r="E665" s="8" t="s">
        <v>72</v>
      </c>
      <c r="F665" s="9">
        <v>40428.411111111112</v>
      </c>
      <c r="G665" s="10">
        <v>40487</v>
      </c>
      <c r="H665" s="10">
        <v>43043</v>
      </c>
      <c r="I665" s="8" t="s">
        <v>1396</v>
      </c>
      <c r="J665" s="8" t="str">
        <f>"North Western, Mwinilunga, Solwezi"</f>
        <v>North Western, Mwinilunga, Solwezi</v>
      </c>
    </row>
    <row r="666" spans="1:10" x14ac:dyDescent="0.2">
      <c r="A666" s="1" t="str">
        <f>"15120-HQ-SEL"</f>
        <v>15120-HQ-SEL</v>
      </c>
      <c r="B666" s="5" t="s">
        <v>1397</v>
      </c>
      <c r="C666" s="5" t="s">
        <v>34</v>
      </c>
      <c r="D666" s="5" t="s">
        <v>589</v>
      </c>
      <c r="E666" s="5" t="s">
        <v>72</v>
      </c>
      <c r="F666" s="6">
        <v>40428.631944444445</v>
      </c>
      <c r="G666" s="7">
        <v>41075</v>
      </c>
      <c r="H666" s="7">
        <v>42900</v>
      </c>
      <c r="I666" s="5" t="s">
        <v>1398</v>
      </c>
      <c r="J666" s="5" t="str">
        <f>"Luapula, Milenge"</f>
        <v>Luapula, Milenge</v>
      </c>
    </row>
    <row r="667" spans="1:10" x14ac:dyDescent="0.2">
      <c r="A667" s="2" t="str">
        <f>"15163-HQ-SEL"</f>
        <v>15163-HQ-SEL</v>
      </c>
      <c r="B667" s="8" t="s">
        <v>1399</v>
      </c>
      <c r="C667" s="8" t="s">
        <v>34</v>
      </c>
      <c r="D667" s="8" t="s">
        <v>51</v>
      </c>
      <c r="E667" s="8" t="s">
        <v>72</v>
      </c>
      <c r="F667" s="9">
        <v>40437.493587962963</v>
      </c>
      <c r="G667" s="10">
        <v>41424</v>
      </c>
      <c r="H667" s="10">
        <v>43249</v>
      </c>
      <c r="I667" s="8" t="s">
        <v>1400</v>
      </c>
      <c r="J667" s="8" t="str">
        <f>"North Western, Mufumbwe"</f>
        <v>North Western, Mufumbwe</v>
      </c>
    </row>
    <row r="668" spans="1:10" x14ac:dyDescent="0.2">
      <c r="A668" s="1" t="str">
        <f>"15286-HQ-SEL"</f>
        <v>15286-HQ-SEL</v>
      </c>
      <c r="B668" s="5" t="s">
        <v>1401</v>
      </c>
      <c r="C668" s="5" t="s">
        <v>34</v>
      </c>
      <c r="D668" s="5" t="s">
        <v>1286</v>
      </c>
      <c r="E668" s="5" t="s">
        <v>13</v>
      </c>
      <c r="F668" s="6">
        <v>40464.590277777781</v>
      </c>
      <c r="G668" s="7">
        <v>41463</v>
      </c>
      <c r="H668" s="7">
        <v>43288</v>
      </c>
      <c r="I668" s="5" t="s">
        <v>1402</v>
      </c>
      <c r="J668" s="5" t="str">
        <f>"Southern, Siavonga"</f>
        <v>Southern, Siavonga</v>
      </c>
    </row>
    <row r="669" spans="1:10" x14ac:dyDescent="0.2">
      <c r="A669" s="2" t="str">
        <f>"15314-HQ-SEL"</f>
        <v>15314-HQ-SEL</v>
      </c>
      <c r="B669" s="8" t="s">
        <v>1403</v>
      </c>
      <c r="C669" s="8" t="s">
        <v>34</v>
      </c>
      <c r="D669" s="8" t="s">
        <v>589</v>
      </c>
      <c r="E669" s="8" t="s">
        <v>72</v>
      </c>
      <c r="F669" s="9">
        <v>40472.623912037037</v>
      </c>
      <c r="G669" s="10">
        <v>41082</v>
      </c>
      <c r="H669" s="10">
        <v>42907</v>
      </c>
      <c r="I669" s="8" t="s">
        <v>1404</v>
      </c>
      <c r="J669" s="8" t="str">
        <f>"Central, Mkushi"</f>
        <v>Central, Mkushi</v>
      </c>
    </row>
    <row r="670" spans="1:10" x14ac:dyDescent="0.2">
      <c r="A670" s="1" t="str">
        <f>"15378-HQ-SEL"</f>
        <v>15378-HQ-SEL</v>
      </c>
      <c r="B670" s="5" t="s">
        <v>1405</v>
      </c>
      <c r="C670" s="5" t="s">
        <v>34</v>
      </c>
      <c r="D670" s="5" t="s">
        <v>1406</v>
      </c>
      <c r="E670" s="5" t="s">
        <v>13</v>
      </c>
      <c r="F670" s="6">
        <v>40485.421527777777</v>
      </c>
      <c r="G670" s="7">
        <v>41425</v>
      </c>
      <c r="H670" s="7">
        <v>43250</v>
      </c>
      <c r="I670" s="5" t="s">
        <v>1407</v>
      </c>
      <c r="J670" s="5" t="str">
        <f>"Copperbelt, Masaiti"</f>
        <v>Copperbelt, Masaiti</v>
      </c>
    </row>
    <row r="671" spans="1:10" x14ac:dyDescent="0.2">
      <c r="A671" s="2" t="str">
        <f>"15402-HQ-SEL"</f>
        <v>15402-HQ-SEL</v>
      </c>
      <c r="B671" s="8" t="s">
        <v>1408</v>
      </c>
      <c r="C671" s="8" t="s">
        <v>34</v>
      </c>
      <c r="D671" s="8" t="s">
        <v>51</v>
      </c>
      <c r="E671" s="8" t="s">
        <v>72</v>
      </c>
      <c r="F671" s="9">
        <v>40491.64166666667</v>
      </c>
      <c r="G671" s="10">
        <v>41096</v>
      </c>
      <c r="H671" s="10">
        <v>42921</v>
      </c>
      <c r="I671" s="8" t="s">
        <v>1409</v>
      </c>
      <c r="J671" s="8" t="str">
        <f>"Central, Mumbwa"</f>
        <v>Central, Mumbwa</v>
      </c>
    </row>
    <row r="672" spans="1:10" x14ac:dyDescent="0.2">
      <c r="A672" s="1" t="str">
        <f>"15477-HQ-SEL"</f>
        <v>15477-HQ-SEL</v>
      </c>
      <c r="B672" s="5" t="s">
        <v>1410</v>
      </c>
      <c r="C672" s="5" t="s">
        <v>34</v>
      </c>
      <c r="D672" s="5" t="s">
        <v>645</v>
      </c>
      <c r="E672" s="5" t="s">
        <v>13</v>
      </c>
      <c r="F672" s="6">
        <v>40506.601238425923</v>
      </c>
      <c r="G672" s="7">
        <v>41359</v>
      </c>
      <c r="H672" s="7">
        <v>43184</v>
      </c>
      <c r="I672" s="5" t="s">
        <v>1411</v>
      </c>
      <c r="J672" s="5" t="str">
        <f>"North Western, Kasempa"</f>
        <v>North Western, Kasempa</v>
      </c>
    </row>
    <row r="673" spans="1:10" x14ac:dyDescent="0.2">
      <c r="A673" s="2" t="str">
        <f>"15503-HQ-SEL"</f>
        <v>15503-HQ-SEL</v>
      </c>
      <c r="B673" s="8" t="s">
        <v>1412</v>
      </c>
      <c r="C673" s="8" t="s">
        <v>34</v>
      </c>
      <c r="D673" s="8" t="s">
        <v>1413</v>
      </c>
      <c r="E673" s="8" t="s">
        <v>72</v>
      </c>
      <c r="F673" s="9">
        <v>40508.399513888886</v>
      </c>
      <c r="G673" s="10">
        <v>41009</v>
      </c>
      <c r="H673" s="10">
        <v>42834</v>
      </c>
      <c r="I673" s="8" t="s">
        <v>1414</v>
      </c>
      <c r="J673" s="8" t="str">
        <f>""</f>
        <v/>
      </c>
    </row>
    <row r="674" spans="1:10" x14ac:dyDescent="0.2">
      <c r="A674" s="1" t="str">
        <f>"15526-HQ-SEL"</f>
        <v>15526-HQ-SEL</v>
      </c>
      <c r="B674" s="5" t="s">
        <v>1415</v>
      </c>
      <c r="C674" s="5" t="s">
        <v>34</v>
      </c>
      <c r="D674" s="5" t="s">
        <v>1416</v>
      </c>
      <c r="E674" s="5" t="s">
        <v>72</v>
      </c>
      <c r="F674" s="6">
        <v>40515.68472222222</v>
      </c>
      <c r="G674" s="7">
        <v>41040</v>
      </c>
      <c r="H674" s="7">
        <v>42865</v>
      </c>
      <c r="I674" s="5" t="s">
        <v>1417</v>
      </c>
      <c r="J674" s="5" t="str">
        <f>""</f>
        <v/>
      </c>
    </row>
    <row r="675" spans="1:10" x14ac:dyDescent="0.2">
      <c r="A675" s="2" t="str">
        <f>"15528-HQ-SEL"</f>
        <v>15528-HQ-SEL</v>
      </c>
      <c r="B675" s="8" t="s">
        <v>1415</v>
      </c>
      <c r="C675" s="8" t="s">
        <v>34</v>
      </c>
      <c r="D675" s="8" t="s">
        <v>1418</v>
      </c>
      <c r="E675" s="8" t="s">
        <v>72</v>
      </c>
      <c r="F675" s="9">
        <v>40515.697222222225</v>
      </c>
      <c r="G675" s="10">
        <v>41040</v>
      </c>
      <c r="H675" s="10">
        <v>42865</v>
      </c>
      <c r="I675" s="8" t="s">
        <v>1419</v>
      </c>
      <c r="J675" s="8" t="str">
        <f>"Lusaka, Chongwe"</f>
        <v>Lusaka, Chongwe</v>
      </c>
    </row>
    <row r="676" spans="1:10" x14ac:dyDescent="0.2">
      <c r="A676" s="1" t="str">
        <f>"15529-HQ-SEL"</f>
        <v>15529-HQ-SEL</v>
      </c>
      <c r="B676" s="5" t="s">
        <v>1415</v>
      </c>
      <c r="C676" s="5" t="s">
        <v>34</v>
      </c>
      <c r="D676" s="5" t="s">
        <v>1418</v>
      </c>
      <c r="E676" s="5" t="s">
        <v>72</v>
      </c>
      <c r="F676" s="6">
        <v>40515.698611111111</v>
      </c>
      <c r="G676" s="7">
        <v>41040</v>
      </c>
      <c r="H676" s="7">
        <v>42865</v>
      </c>
      <c r="I676" s="5" t="s">
        <v>1420</v>
      </c>
      <c r="J676" s="5" t="str">
        <f>"Lusaka, Chongwe"</f>
        <v>Lusaka, Chongwe</v>
      </c>
    </row>
    <row r="677" spans="1:10" x14ac:dyDescent="0.2">
      <c r="A677" s="2" t="str">
        <f>"15621-HQ-LPL"</f>
        <v>15621-HQ-LPL</v>
      </c>
      <c r="B677" s="8" t="s">
        <v>1421</v>
      </c>
      <c r="C677" s="8" t="s">
        <v>1297</v>
      </c>
      <c r="D677" s="8" t="s">
        <v>141</v>
      </c>
      <c r="E677" s="8" t="s">
        <v>489</v>
      </c>
      <c r="F677" s="9">
        <v>40539.489641203705</v>
      </c>
      <c r="G677" s="10">
        <v>40662</v>
      </c>
      <c r="H677" s="10">
        <v>42853</v>
      </c>
      <c r="I677" s="8" t="s">
        <v>1422</v>
      </c>
      <c r="J677" s="8" t="str">
        <f>"North Western, Solwezi"</f>
        <v>North Western, Solwezi</v>
      </c>
    </row>
    <row r="678" spans="1:10" x14ac:dyDescent="0.2">
      <c r="A678" s="1" t="str">
        <f>"15651-HQ-SEL"</f>
        <v>15651-HQ-SEL</v>
      </c>
      <c r="B678" s="5" t="s">
        <v>1423</v>
      </c>
      <c r="C678" s="5" t="s">
        <v>34</v>
      </c>
      <c r="D678" s="5" t="s">
        <v>45</v>
      </c>
      <c r="E678" s="5" t="s">
        <v>13</v>
      </c>
      <c r="F678" s="6">
        <v>40547.491006944445</v>
      </c>
      <c r="G678" s="7">
        <v>41025</v>
      </c>
      <c r="H678" s="7">
        <v>42850</v>
      </c>
      <c r="I678" s="5" t="s">
        <v>1424</v>
      </c>
      <c r="J678" s="5" t="str">
        <f>"Lusaka, Kafue"</f>
        <v>Lusaka, Kafue</v>
      </c>
    </row>
    <row r="679" spans="1:10" x14ac:dyDescent="0.2">
      <c r="A679" s="2" t="str">
        <f>"15669-HQ-AMR"</f>
        <v>15669-HQ-AMR</v>
      </c>
      <c r="B679" s="8" t="s">
        <v>1425</v>
      </c>
      <c r="C679" s="8" t="s">
        <v>19</v>
      </c>
      <c r="D679" s="8" t="s">
        <v>1426</v>
      </c>
      <c r="E679" s="8" t="s">
        <v>72</v>
      </c>
      <c r="F679" s="9">
        <v>40550.428738425922</v>
      </c>
      <c r="G679" s="10">
        <v>41509</v>
      </c>
      <c r="H679" s="10">
        <v>42969</v>
      </c>
      <c r="I679" s="8" t="s">
        <v>1427</v>
      </c>
      <c r="J679" s="8" t="str">
        <f>"Central, Kabwe"</f>
        <v>Central, Kabwe</v>
      </c>
    </row>
    <row r="680" spans="1:10" x14ac:dyDescent="0.2">
      <c r="A680" s="1" t="str">
        <f>"15712-HQ-SEL"</f>
        <v>15712-HQ-SEL</v>
      </c>
      <c r="B680" s="5" t="s">
        <v>1428</v>
      </c>
      <c r="C680" s="5" t="s">
        <v>34</v>
      </c>
      <c r="D680" s="5" t="s">
        <v>575</v>
      </c>
      <c r="E680" s="5" t="s">
        <v>72</v>
      </c>
      <c r="F680" s="6">
        <v>40567.681250000001</v>
      </c>
      <c r="G680" s="7">
        <v>41099</v>
      </c>
      <c r="H680" s="7">
        <v>42924</v>
      </c>
      <c r="I680" s="5" t="s">
        <v>1429</v>
      </c>
      <c r="J680" s="5" t="str">
        <f>"Central, Chongwe, Mkushi; Lusaka, Chongwe"</f>
        <v>Central, Chongwe, Mkushi; Lusaka, Chongwe</v>
      </c>
    </row>
    <row r="681" spans="1:10" x14ac:dyDescent="0.2">
      <c r="A681" s="2" t="str">
        <f>"15720-HQ-SEL"</f>
        <v>15720-HQ-SEL</v>
      </c>
      <c r="B681" s="8" t="s">
        <v>1430</v>
      </c>
      <c r="C681" s="8" t="s">
        <v>34</v>
      </c>
      <c r="D681" s="8" t="s">
        <v>156</v>
      </c>
      <c r="E681" s="8" t="s">
        <v>72</v>
      </c>
      <c r="F681" s="9">
        <v>40568.520578703705</v>
      </c>
      <c r="G681" s="10">
        <v>41088</v>
      </c>
      <c r="H681" s="10">
        <v>42913</v>
      </c>
      <c r="I681" s="8" t="s">
        <v>1431</v>
      </c>
      <c r="J681" s="8" t="str">
        <f>"Luapula, Samfya"</f>
        <v>Luapula, Samfya</v>
      </c>
    </row>
    <row r="682" spans="1:10" x14ac:dyDescent="0.2">
      <c r="A682" s="1" t="str">
        <f>"15721-HQ-SEL"</f>
        <v>15721-HQ-SEL</v>
      </c>
      <c r="B682" s="5" t="s">
        <v>1432</v>
      </c>
      <c r="C682" s="5" t="s">
        <v>34</v>
      </c>
      <c r="D682" s="5" t="s">
        <v>541</v>
      </c>
      <c r="E682" s="5" t="s">
        <v>72</v>
      </c>
      <c r="F682" s="6">
        <v>40568.605555555558</v>
      </c>
      <c r="G682" s="7">
        <v>41135</v>
      </c>
      <c r="H682" s="7">
        <v>42960</v>
      </c>
      <c r="I682" s="5" t="s">
        <v>1433</v>
      </c>
      <c r="J682" s="5" t="str">
        <f>"Lusaka, Kafue"</f>
        <v>Lusaka, Kafue</v>
      </c>
    </row>
    <row r="683" spans="1:10" x14ac:dyDescent="0.2">
      <c r="A683" s="2" t="str">
        <f>"15743-HQ-SEL"</f>
        <v>15743-HQ-SEL</v>
      </c>
      <c r="B683" s="8" t="s">
        <v>1434</v>
      </c>
      <c r="C683" s="8" t="s">
        <v>34</v>
      </c>
      <c r="D683" s="8" t="s">
        <v>950</v>
      </c>
      <c r="E683" s="8" t="s">
        <v>13</v>
      </c>
      <c r="F683" s="9">
        <v>40602.506249999999</v>
      </c>
      <c r="G683" s="10">
        <v>41298</v>
      </c>
      <c r="H683" s="10">
        <v>43123</v>
      </c>
      <c r="I683" s="8" t="s">
        <v>1435</v>
      </c>
      <c r="J683" s="8" t="str">
        <f>"Central, Chibombo"</f>
        <v>Central, Chibombo</v>
      </c>
    </row>
    <row r="684" spans="1:10" x14ac:dyDescent="0.2">
      <c r="A684" s="1" t="str">
        <f>"15773-HQ-SEL"</f>
        <v>15773-HQ-SEL</v>
      </c>
      <c r="B684" s="5" t="s">
        <v>1436</v>
      </c>
      <c r="C684" s="5" t="s">
        <v>34</v>
      </c>
      <c r="D684" s="5" t="s">
        <v>1437</v>
      </c>
      <c r="E684" s="5" t="s">
        <v>72</v>
      </c>
      <c r="F684" s="6">
        <v>40581.453472222223</v>
      </c>
      <c r="G684" s="7">
        <v>41029</v>
      </c>
      <c r="H684" s="7">
        <v>42854</v>
      </c>
      <c r="I684" s="5" t="s">
        <v>2285</v>
      </c>
      <c r="J684" s="5" t="str">
        <f>"Copperbelt, Masaiti"</f>
        <v>Copperbelt, Masaiti</v>
      </c>
    </row>
    <row r="685" spans="1:10" x14ac:dyDescent="0.2">
      <c r="A685" s="2" t="str">
        <f>"15826-HQ-SEL"</f>
        <v>15826-HQ-SEL</v>
      </c>
      <c r="B685" s="8" t="s">
        <v>1438</v>
      </c>
      <c r="C685" s="8" t="s">
        <v>34</v>
      </c>
      <c r="D685" s="8" t="s">
        <v>1439</v>
      </c>
      <c r="E685" s="8" t="s">
        <v>72</v>
      </c>
      <c r="F685" s="9">
        <v>40598.459247685183</v>
      </c>
      <c r="G685" s="10">
        <v>41078</v>
      </c>
      <c r="H685" s="10">
        <v>42903</v>
      </c>
      <c r="I685" s="8" t="s">
        <v>1440</v>
      </c>
      <c r="J685" s="8" t="str">
        <f>"Western, Sesheke"</f>
        <v>Western, Sesheke</v>
      </c>
    </row>
    <row r="686" spans="1:10" x14ac:dyDescent="0.2">
      <c r="A686" s="1" t="str">
        <f>"15832-HQ-SEL"</f>
        <v>15832-HQ-SEL</v>
      </c>
      <c r="B686" s="5" t="s">
        <v>1441</v>
      </c>
      <c r="C686" s="5" t="s">
        <v>34</v>
      </c>
      <c r="D686" s="5" t="s">
        <v>1442</v>
      </c>
      <c r="E686" s="5" t="s">
        <v>13</v>
      </c>
      <c r="F686" s="6">
        <v>40598.51494212963</v>
      </c>
      <c r="G686" s="7">
        <v>41332</v>
      </c>
      <c r="H686" s="7">
        <v>43157</v>
      </c>
      <c r="I686" s="5" t="s">
        <v>1443</v>
      </c>
      <c r="J686" s="5" t="str">
        <f>"Copperbelt, Mufulira"</f>
        <v>Copperbelt, Mufulira</v>
      </c>
    </row>
    <row r="687" spans="1:10" x14ac:dyDescent="0.2">
      <c r="A687" s="2" t="str">
        <f>"15837-HQ-SEL"</f>
        <v>15837-HQ-SEL</v>
      </c>
      <c r="B687" s="8" t="s">
        <v>1444</v>
      </c>
      <c r="C687" s="8" t="s">
        <v>34</v>
      </c>
      <c r="D687" s="8" t="s">
        <v>1306</v>
      </c>
      <c r="E687" s="8" t="s">
        <v>13</v>
      </c>
      <c r="F687" s="9">
        <v>40599.5937037037</v>
      </c>
      <c r="G687" s="10">
        <v>41422</v>
      </c>
      <c r="H687" s="10">
        <v>43247</v>
      </c>
      <c r="I687" s="8" t="s">
        <v>1445</v>
      </c>
      <c r="J687" s="8" t="str">
        <f>"Central, Mkushi"</f>
        <v>Central, Mkushi</v>
      </c>
    </row>
    <row r="688" spans="1:10" x14ac:dyDescent="0.2">
      <c r="A688" s="1" t="str">
        <f>"15862-HQ-SEL"</f>
        <v>15862-HQ-SEL</v>
      </c>
      <c r="B688" s="5" t="s">
        <v>1446</v>
      </c>
      <c r="C688" s="5" t="s">
        <v>34</v>
      </c>
      <c r="D688" s="5" t="s">
        <v>541</v>
      </c>
      <c r="E688" s="5" t="s">
        <v>72</v>
      </c>
      <c r="F688" s="6">
        <v>40606.64166666667</v>
      </c>
      <c r="G688" s="7">
        <v>41165</v>
      </c>
      <c r="H688" s="7">
        <v>42990</v>
      </c>
      <c r="I688" s="5" t="s">
        <v>1447</v>
      </c>
      <c r="J688" s="5" t="str">
        <f>"Copperbelt, Kalulushi, Lufwanyama"</f>
        <v>Copperbelt, Kalulushi, Lufwanyama</v>
      </c>
    </row>
    <row r="689" spans="1:10" x14ac:dyDescent="0.2">
      <c r="A689" s="2" t="str">
        <f>"15891-HQ-SEL"</f>
        <v>15891-HQ-SEL</v>
      </c>
      <c r="B689" s="8" t="s">
        <v>1448</v>
      </c>
      <c r="C689" s="8" t="s">
        <v>34</v>
      </c>
      <c r="D689" s="8" t="s">
        <v>909</v>
      </c>
      <c r="E689" s="8" t="s">
        <v>13</v>
      </c>
      <c r="F689" s="9">
        <v>40612.655555555553</v>
      </c>
      <c r="G689" s="10">
        <v>41332</v>
      </c>
      <c r="H689" s="10">
        <v>43157</v>
      </c>
      <c r="I689" s="8" t="s">
        <v>1449</v>
      </c>
      <c r="J689" s="8" t="str">
        <f>"Central, Mkushi"</f>
        <v>Central, Mkushi</v>
      </c>
    </row>
    <row r="690" spans="1:10" x14ac:dyDescent="0.2">
      <c r="A690" s="1" t="str">
        <f>"15899-HQ-SEL"</f>
        <v>15899-HQ-SEL</v>
      </c>
      <c r="B690" s="5" t="s">
        <v>1450</v>
      </c>
      <c r="C690" s="5" t="s">
        <v>34</v>
      </c>
      <c r="D690" s="5" t="s">
        <v>167</v>
      </c>
      <c r="E690" s="5" t="s">
        <v>72</v>
      </c>
      <c r="F690" s="6">
        <v>40616.614583333336</v>
      </c>
      <c r="G690" s="7">
        <v>41099</v>
      </c>
      <c r="H690" s="7">
        <v>42924</v>
      </c>
      <c r="I690" s="5" t="s">
        <v>1451</v>
      </c>
      <c r="J690" s="5" t="str">
        <f t="shared" ref="J690:J695" si="0">"Northern, Mbala"</f>
        <v>Northern, Mbala</v>
      </c>
    </row>
    <row r="691" spans="1:10" x14ac:dyDescent="0.2">
      <c r="A691" s="2" t="str">
        <f>"15900-HQ-SEL"</f>
        <v>15900-HQ-SEL</v>
      </c>
      <c r="B691" s="8" t="s">
        <v>1450</v>
      </c>
      <c r="C691" s="8" t="s">
        <v>34</v>
      </c>
      <c r="D691" s="8" t="s">
        <v>167</v>
      </c>
      <c r="E691" s="8" t="s">
        <v>72</v>
      </c>
      <c r="F691" s="9">
        <v>40616.616666666669</v>
      </c>
      <c r="G691" s="10">
        <v>41099</v>
      </c>
      <c r="H691" s="10">
        <v>42924</v>
      </c>
      <c r="I691" s="8" t="s">
        <v>1452</v>
      </c>
      <c r="J691" s="8" t="str">
        <f t="shared" si="0"/>
        <v>Northern, Mbala</v>
      </c>
    </row>
    <row r="692" spans="1:10" x14ac:dyDescent="0.2">
      <c r="A692" s="1" t="str">
        <f>"15901-HQ-SEL"</f>
        <v>15901-HQ-SEL</v>
      </c>
      <c r="B692" s="5" t="s">
        <v>1450</v>
      </c>
      <c r="C692" s="5" t="s">
        <v>34</v>
      </c>
      <c r="D692" s="5" t="s">
        <v>167</v>
      </c>
      <c r="E692" s="5" t="s">
        <v>72</v>
      </c>
      <c r="F692" s="6">
        <v>40616.618055555555</v>
      </c>
      <c r="G692" s="7">
        <v>41099</v>
      </c>
      <c r="H692" s="7">
        <v>42924</v>
      </c>
      <c r="I692" s="5" t="s">
        <v>1453</v>
      </c>
      <c r="J692" s="5" t="str">
        <f t="shared" si="0"/>
        <v>Northern, Mbala</v>
      </c>
    </row>
    <row r="693" spans="1:10" x14ac:dyDescent="0.2">
      <c r="A693" s="2" t="str">
        <f>"15902-HQ-SEL"</f>
        <v>15902-HQ-SEL</v>
      </c>
      <c r="B693" s="8" t="s">
        <v>1450</v>
      </c>
      <c r="C693" s="8" t="s">
        <v>34</v>
      </c>
      <c r="D693" s="8" t="s">
        <v>167</v>
      </c>
      <c r="E693" s="8" t="s">
        <v>72</v>
      </c>
      <c r="F693" s="9">
        <v>40616.619444444441</v>
      </c>
      <c r="G693" s="10">
        <v>41099</v>
      </c>
      <c r="H693" s="10">
        <v>42924</v>
      </c>
      <c r="I693" s="8" t="s">
        <v>1454</v>
      </c>
      <c r="J693" s="8" t="str">
        <f t="shared" si="0"/>
        <v>Northern, Mbala</v>
      </c>
    </row>
    <row r="694" spans="1:10" x14ac:dyDescent="0.2">
      <c r="A694" s="1" t="str">
        <f>"15903-HQ-SEL"</f>
        <v>15903-HQ-SEL</v>
      </c>
      <c r="B694" s="5" t="s">
        <v>1450</v>
      </c>
      <c r="C694" s="5" t="s">
        <v>34</v>
      </c>
      <c r="D694" s="5" t="s">
        <v>167</v>
      </c>
      <c r="E694" s="5" t="s">
        <v>72</v>
      </c>
      <c r="F694" s="6">
        <v>40616.620833333334</v>
      </c>
      <c r="G694" s="7">
        <v>41099</v>
      </c>
      <c r="H694" s="7">
        <v>42924</v>
      </c>
      <c r="I694" s="5" t="s">
        <v>1455</v>
      </c>
      <c r="J694" s="5" t="str">
        <f t="shared" si="0"/>
        <v>Northern, Mbala</v>
      </c>
    </row>
    <row r="695" spans="1:10" x14ac:dyDescent="0.2">
      <c r="A695" s="2" t="str">
        <f>"15904-HQ-SEL"</f>
        <v>15904-HQ-SEL</v>
      </c>
      <c r="B695" s="8" t="s">
        <v>1450</v>
      </c>
      <c r="C695" s="8" t="s">
        <v>34</v>
      </c>
      <c r="D695" s="8" t="s">
        <v>167</v>
      </c>
      <c r="E695" s="8" t="s">
        <v>72</v>
      </c>
      <c r="F695" s="9">
        <v>40616.621527777781</v>
      </c>
      <c r="G695" s="10">
        <v>41130</v>
      </c>
      <c r="H695" s="10">
        <v>42955</v>
      </c>
      <c r="I695" s="8" t="s">
        <v>1456</v>
      </c>
      <c r="J695" s="8" t="str">
        <f t="shared" si="0"/>
        <v>Northern, Mbala</v>
      </c>
    </row>
    <row r="696" spans="1:10" x14ac:dyDescent="0.2">
      <c r="A696" s="1" t="str">
        <f>"15914-HQ-SEL"</f>
        <v>15914-HQ-SEL</v>
      </c>
      <c r="B696" s="5" t="s">
        <v>1457</v>
      </c>
      <c r="C696" s="5" t="s">
        <v>34</v>
      </c>
      <c r="D696" s="5" t="s">
        <v>731</v>
      </c>
      <c r="E696" s="5" t="s">
        <v>72</v>
      </c>
      <c r="F696" s="6">
        <v>40619.458333333336</v>
      </c>
      <c r="G696" s="7">
        <v>41086</v>
      </c>
      <c r="H696" s="7">
        <v>42911</v>
      </c>
      <c r="I696" s="5" t="s">
        <v>1458</v>
      </c>
      <c r="J696" s="5" t="str">
        <f>"Copperbelt, Ndola"</f>
        <v>Copperbelt, Ndola</v>
      </c>
    </row>
    <row r="697" spans="1:10" x14ac:dyDescent="0.2">
      <c r="A697" s="2" t="str">
        <f>"15915-HQ-SEL"</f>
        <v>15915-HQ-SEL</v>
      </c>
      <c r="B697" s="8" t="s">
        <v>1459</v>
      </c>
      <c r="C697" s="8" t="s">
        <v>34</v>
      </c>
      <c r="D697" s="8" t="s">
        <v>1189</v>
      </c>
      <c r="E697" s="8" t="s">
        <v>72</v>
      </c>
      <c r="F697" s="9">
        <v>40619.523495370369</v>
      </c>
      <c r="G697" s="10">
        <v>41099</v>
      </c>
      <c r="H697" s="10">
        <v>42924</v>
      </c>
      <c r="I697" s="8" t="s">
        <v>1460</v>
      </c>
      <c r="J697" s="8" t="str">
        <f>"Southern, Sinazongwe"</f>
        <v>Southern, Sinazongwe</v>
      </c>
    </row>
    <row r="698" spans="1:10" x14ac:dyDescent="0.2">
      <c r="A698" s="1" t="str">
        <f>"15973-HQ-LEL"</f>
        <v>15973-HQ-LEL</v>
      </c>
      <c r="B698" s="5" t="s">
        <v>1461</v>
      </c>
      <c r="C698" s="5" t="s">
        <v>15</v>
      </c>
      <c r="D698" s="5" t="s">
        <v>350</v>
      </c>
      <c r="E698" s="5" t="s">
        <v>72</v>
      </c>
      <c r="F698" s="6">
        <v>40634.474999999999</v>
      </c>
      <c r="G698" s="7">
        <v>40717</v>
      </c>
      <c r="H698" s="7">
        <v>43273</v>
      </c>
      <c r="I698" s="5" t="s">
        <v>1462</v>
      </c>
      <c r="J698" s="5" t="str">
        <f>"Eastern, Nyimba"</f>
        <v>Eastern, Nyimba</v>
      </c>
    </row>
    <row r="699" spans="1:10" x14ac:dyDescent="0.2">
      <c r="A699" s="2" t="str">
        <f>"15980-HQ-SEL"</f>
        <v>15980-HQ-SEL</v>
      </c>
      <c r="B699" s="8" t="s">
        <v>1463</v>
      </c>
      <c r="C699" s="8" t="s">
        <v>34</v>
      </c>
      <c r="D699" s="8" t="s">
        <v>1464</v>
      </c>
      <c r="E699" s="8" t="s">
        <v>72</v>
      </c>
      <c r="F699" s="9">
        <v>40634.691666666666</v>
      </c>
      <c r="G699" s="10">
        <v>41193</v>
      </c>
      <c r="H699" s="10">
        <v>43018</v>
      </c>
      <c r="I699" s="8" t="s">
        <v>1465</v>
      </c>
      <c r="J699" s="8" t="str">
        <f>"Copperbelt, Mufulira"</f>
        <v>Copperbelt, Mufulira</v>
      </c>
    </row>
    <row r="700" spans="1:10" x14ac:dyDescent="0.2">
      <c r="A700" s="1" t="str">
        <f>"16027-HQ-AMR"</f>
        <v>16027-HQ-AMR</v>
      </c>
      <c r="B700" s="5" t="s">
        <v>1466</v>
      </c>
      <c r="C700" s="5" t="s">
        <v>19</v>
      </c>
      <c r="D700" s="5" t="s">
        <v>58</v>
      </c>
      <c r="E700" s="5" t="s">
        <v>13</v>
      </c>
      <c r="F700" s="6">
        <v>40644.649305555555</v>
      </c>
      <c r="G700" s="7">
        <v>40821</v>
      </c>
      <c r="H700" s="7">
        <v>43012</v>
      </c>
      <c r="I700" s="5" t="s">
        <v>56</v>
      </c>
      <c r="J700" s="5" t="str">
        <f>"Copperbelt, Ndola"</f>
        <v>Copperbelt, Ndola</v>
      </c>
    </row>
    <row r="701" spans="1:10" x14ac:dyDescent="0.2">
      <c r="A701" s="2" t="str">
        <f>"16047-HQ-SEL"</f>
        <v>16047-HQ-SEL</v>
      </c>
      <c r="B701" s="8" t="s">
        <v>1467</v>
      </c>
      <c r="C701" s="8" t="s">
        <v>34</v>
      </c>
      <c r="D701" s="8" t="s">
        <v>589</v>
      </c>
      <c r="E701" s="8" t="s">
        <v>72</v>
      </c>
      <c r="F701" s="9">
        <v>40654.444444444445</v>
      </c>
      <c r="G701" s="10">
        <v>41015</v>
      </c>
      <c r="H701" s="10">
        <v>42840</v>
      </c>
      <c r="I701" s="8" t="s">
        <v>1468</v>
      </c>
      <c r="J701" s="8" t="str">
        <f>"Central, Kapiri Mposhi"</f>
        <v>Central, Kapiri Mposhi</v>
      </c>
    </row>
    <row r="702" spans="1:10" x14ac:dyDescent="0.2">
      <c r="A702" s="1" t="str">
        <f>"16053-HQ-SEL"</f>
        <v>16053-HQ-SEL</v>
      </c>
      <c r="B702" s="5" t="s">
        <v>1469</v>
      </c>
      <c r="C702" s="5" t="s">
        <v>34</v>
      </c>
      <c r="D702" s="5" t="s">
        <v>813</v>
      </c>
      <c r="E702" s="5" t="s">
        <v>13</v>
      </c>
      <c r="F702" s="6">
        <v>40659.444444444445</v>
      </c>
      <c r="G702" s="7">
        <v>41522</v>
      </c>
      <c r="H702" s="7">
        <v>43347</v>
      </c>
      <c r="I702" s="5" t="s">
        <v>1470</v>
      </c>
      <c r="J702" s="5" t="str">
        <f>"North Western, Mwinilunga"</f>
        <v>North Western, Mwinilunga</v>
      </c>
    </row>
    <row r="703" spans="1:10" x14ac:dyDescent="0.2">
      <c r="A703" s="2" t="str">
        <f>"16071-HQ-SEL"</f>
        <v>16071-HQ-SEL</v>
      </c>
      <c r="B703" s="8" t="s">
        <v>1471</v>
      </c>
      <c r="C703" s="8" t="s">
        <v>34</v>
      </c>
      <c r="D703" s="8" t="s">
        <v>113</v>
      </c>
      <c r="E703" s="8" t="s">
        <v>72</v>
      </c>
      <c r="F703" s="9">
        <v>40661.683333333334</v>
      </c>
      <c r="G703" s="10">
        <v>41040</v>
      </c>
      <c r="H703" s="10">
        <v>42865</v>
      </c>
      <c r="I703" s="8" t="s">
        <v>1472</v>
      </c>
      <c r="J703" s="8" t="str">
        <f>"Copperbelt, Mkushi, Mkushi"</f>
        <v>Copperbelt, Mkushi, Mkushi</v>
      </c>
    </row>
    <row r="704" spans="1:10" x14ac:dyDescent="0.2">
      <c r="A704" s="1" t="str">
        <f>"16079-HQ-SEL"</f>
        <v>16079-HQ-SEL</v>
      </c>
      <c r="B704" s="5" t="s">
        <v>1473</v>
      </c>
      <c r="C704" s="5" t="s">
        <v>34</v>
      </c>
      <c r="D704" s="5" t="s">
        <v>1474</v>
      </c>
      <c r="E704" s="5" t="s">
        <v>13</v>
      </c>
      <c r="F704" s="6">
        <v>40667.486805555556</v>
      </c>
      <c r="G704" s="7">
        <v>41596</v>
      </c>
      <c r="H704" s="7">
        <v>43421</v>
      </c>
      <c r="I704" s="5" t="s">
        <v>1475</v>
      </c>
      <c r="J704" s="5" t="str">
        <f>"Northern, Mporokoso"</f>
        <v>Northern, Mporokoso</v>
      </c>
    </row>
    <row r="705" spans="1:10" x14ac:dyDescent="0.2">
      <c r="A705" s="2" t="str">
        <f>"16095-HQ-SPP"</f>
        <v>16095-HQ-SPP</v>
      </c>
      <c r="B705" s="8" t="s">
        <v>1476</v>
      </c>
      <c r="C705" s="8" t="s">
        <v>1360</v>
      </c>
      <c r="D705" s="8" t="s">
        <v>38</v>
      </c>
      <c r="E705" s="8" t="s">
        <v>72</v>
      </c>
      <c r="F705" s="9">
        <v>40669.537499999999</v>
      </c>
      <c r="G705" s="10">
        <v>41186</v>
      </c>
      <c r="H705" s="10">
        <v>43011</v>
      </c>
      <c r="I705" s="8" t="s">
        <v>1477</v>
      </c>
      <c r="J705" s="8" t="str">
        <f>"Southern, Sinazongwe"</f>
        <v>Southern, Sinazongwe</v>
      </c>
    </row>
    <row r="706" spans="1:10" x14ac:dyDescent="0.2">
      <c r="A706" s="1" t="str">
        <f>"16112-HQ-LPL"</f>
        <v>16112-HQ-LPL</v>
      </c>
      <c r="B706" s="5" t="s">
        <v>1478</v>
      </c>
      <c r="C706" s="5" t="s">
        <v>1297</v>
      </c>
      <c r="D706" s="5" t="s">
        <v>1479</v>
      </c>
      <c r="E706" s="5" t="s">
        <v>13</v>
      </c>
      <c r="F706" s="6">
        <v>40672.609027777777</v>
      </c>
      <c r="G706" s="7">
        <v>40745</v>
      </c>
      <c r="H706" s="7">
        <v>42936</v>
      </c>
      <c r="I706" s="5" t="s">
        <v>1480</v>
      </c>
      <c r="J706" s="5" t="str">
        <f>"Central, Mumbwa"</f>
        <v>Central, Mumbwa</v>
      </c>
    </row>
    <row r="707" spans="1:10" x14ac:dyDescent="0.2">
      <c r="A707" s="2" t="str">
        <f>"16120-HQ-SEL"</f>
        <v>16120-HQ-SEL</v>
      </c>
      <c r="B707" s="8" t="s">
        <v>1481</v>
      </c>
      <c r="C707" s="8" t="s">
        <v>34</v>
      </c>
      <c r="D707" s="8" t="s">
        <v>1482</v>
      </c>
      <c r="E707" s="8" t="s">
        <v>72</v>
      </c>
      <c r="F707" s="9">
        <v>40673.533333333333</v>
      </c>
      <c r="G707" s="10">
        <v>41015</v>
      </c>
      <c r="H707" s="10">
        <v>42840</v>
      </c>
      <c r="I707" s="8" t="s">
        <v>1483</v>
      </c>
      <c r="J707" s="8" t="str">
        <f>"Luapula, Mansa"</f>
        <v>Luapula, Mansa</v>
      </c>
    </row>
    <row r="708" spans="1:10" x14ac:dyDescent="0.2">
      <c r="A708" s="1" t="str">
        <f>"16121-HQ-LEL"</f>
        <v>16121-HQ-LEL</v>
      </c>
      <c r="B708" s="5" t="s">
        <v>1484</v>
      </c>
      <c r="C708" s="5" t="s">
        <v>15</v>
      </c>
      <c r="D708" s="5" t="s">
        <v>1485</v>
      </c>
      <c r="E708" s="5" t="s">
        <v>72</v>
      </c>
      <c r="F708" s="6">
        <v>40673.647222222222</v>
      </c>
      <c r="G708" s="7">
        <v>40745</v>
      </c>
      <c r="H708" s="7">
        <v>43301</v>
      </c>
      <c r="I708" s="5" t="s">
        <v>1486</v>
      </c>
      <c r="J708" s="5" t="str">
        <f>"North Western, Solwezi"</f>
        <v>North Western, Solwezi</v>
      </c>
    </row>
    <row r="709" spans="1:10" x14ac:dyDescent="0.2">
      <c r="A709" s="2" t="str">
        <f>"16154-HQ-SEL"</f>
        <v>16154-HQ-SEL</v>
      </c>
      <c r="B709" s="8" t="s">
        <v>1487</v>
      </c>
      <c r="C709" s="8" t="s">
        <v>34</v>
      </c>
      <c r="D709" s="8" t="s">
        <v>51</v>
      </c>
      <c r="E709" s="8" t="s">
        <v>72</v>
      </c>
      <c r="F709" s="9">
        <v>40679.498611111114</v>
      </c>
      <c r="G709" s="10">
        <v>41082</v>
      </c>
      <c r="H709" s="10">
        <v>42907</v>
      </c>
      <c r="I709" s="8" t="s">
        <v>1488</v>
      </c>
      <c r="J709" s="8" t="str">
        <f>"Central, Mumbwa"</f>
        <v>Central, Mumbwa</v>
      </c>
    </row>
    <row r="710" spans="1:10" x14ac:dyDescent="0.2">
      <c r="A710" s="1" t="str">
        <f>"16188-HQ-SEL"</f>
        <v>16188-HQ-SEL</v>
      </c>
      <c r="B710" s="5" t="s">
        <v>1489</v>
      </c>
      <c r="C710" s="5" t="s">
        <v>34</v>
      </c>
      <c r="D710" s="5" t="s">
        <v>1490</v>
      </c>
      <c r="E710" s="5" t="s">
        <v>72</v>
      </c>
      <c r="F710" s="6">
        <v>40682.459027777775</v>
      </c>
      <c r="G710" s="7">
        <v>41103</v>
      </c>
      <c r="H710" s="7">
        <v>42928</v>
      </c>
      <c r="I710" s="5" t="s">
        <v>1491</v>
      </c>
      <c r="J710" s="5" t="str">
        <f>"Lusaka, Lusaka"</f>
        <v>Lusaka, Lusaka</v>
      </c>
    </row>
    <row r="711" spans="1:10" x14ac:dyDescent="0.2">
      <c r="A711" s="2" t="str">
        <f>"16201-HQ-SEL"</f>
        <v>16201-HQ-SEL</v>
      </c>
      <c r="B711" s="8" t="s">
        <v>1492</v>
      </c>
      <c r="C711" s="8" t="s">
        <v>34</v>
      </c>
      <c r="D711" s="8" t="s">
        <v>728</v>
      </c>
      <c r="E711" s="8" t="s">
        <v>13</v>
      </c>
      <c r="F711" s="9">
        <v>40687.63958333333</v>
      </c>
      <c r="G711" s="10">
        <v>41296</v>
      </c>
      <c r="H711" s="10">
        <v>43121</v>
      </c>
      <c r="I711" s="8" t="s">
        <v>1493</v>
      </c>
      <c r="J711" s="8" t="str">
        <f>"Luapula, Mansa, Milenge"</f>
        <v>Luapula, Mansa, Milenge</v>
      </c>
    </row>
    <row r="712" spans="1:10" x14ac:dyDescent="0.2">
      <c r="A712" s="1" t="str">
        <f>"16205-HQ-SEL"</f>
        <v>16205-HQ-SEL</v>
      </c>
      <c r="B712" s="5" t="s">
        <v>1494</v>
      </c>
      <c r="C712" s="5" t="s">
        <v>34</v>
      </c>
      <c r="D712" s="5" t="s">
        <v>541</v>
      </c>
      <c r="E712" s="5" t="s">
        <v>13</v>
      </c>
      <c r="F712" s="6">
        <v>40690.42291666667</v>
      </c>
      <c r="G712" s="7">
        <v>41493</v>
      </c>
      <c r="H712" s="7">
        <v>43318</v>
      </c>
      <c r="I712" s="5" t="s">
        <v>1495</v>
      </c>
      <c r="J712" s="5" t="str">
        <f>"North Western, Solwezi"</f>
        <v>North Western, Solwezi</v>
      </c>
    </row>
    <row r="713" spans="1:10" x14ac:dyDescent="0.2">
      <c r="A713" s="2" t="str">
        <f>"16304-HQ-SEL"</f>
        <v>16304-HQ-SEL</v>
      </c>
      <c r="B713" s="8" t="s">
        <v>1496</v>
      </c>
      <c r="C713" s="8" t="s">
        <v>34</v>
      </c>
      <c r="D713" s="8" t="s">
        <v>1497</v>
      </c>
      <c r="E713" s="8" t="s">
        <v>72</v>
      </c>
      <c r="F713" s="9">
        <v>40708.68472222222</v>
      </c>
      <c r="G713" s="10">
        <v>41242</v>
      </c>
      <c r="H713" s="10">
        <v>43067</v>
      </c>
      <c r="I713" s="8" t="s">
        <v>1498</v>
      </c>
      <c r="J713" s="8" t="str">
        <f>"North Western, Solwezi"</f>
        <v>North Western, Solwezi</v>
      </c>
    </row>
    <row r="714" spans="1:10" x14ac:dyDescent="0.2">
      <c r="A714" s="1" t="str">
        <f>"16310-HQ-SEL"</f>
        <v>16310-HQ-SEL</v>
      </c>
      <c r="B714" s="5" t="s">
        <v>1499</v>
      </c>
      <c r="C714" s="5" t="s">
        <v>34</v>
      </c>
      <c r="D714" s="5" t="s">
        <v>372</v>
      </c>
      <c r="E714" s="5" t="s">
        <v>72</v>
      </c>
      <c r="F714" s="6">
        <v>40710.424305555556</v>
      </c>
      <c r="G714" s="7">
        <v>41316</v>
      </c>
      <c r="H714" s="7">
        <v>43141</v>
      </c>
      <c r="I714" s="5" t="s">
        <v>1500</v>
      </c>
      <c r="J714" s="5" t="str">
        <f>"Lusaka, Kafue"</f>
        <v>Lusaka, Kafue</v>
      </c>
    </row>
    <row r="715" spans="1:10" x14ac:dyDescent="0.2">
      <c r="A715" s="2" t="str">
        <f>"16316-HQ-SEL"</f>
        <v>16316-HQ-SEL</v>
      </c>
      <c r="B715" s="8" t="s">
        <v>1423</v>
      </c>
      <c r="C715" s="8" t="s">
        <v>34</v>
      </c>
      <c r="D715" s="8" t="s">
        <v>45</v>
      </c>
      <c r="E715" s="8" t="s">
        <v>13</v>
      </c>
      <c r="F715" s="9">
        <v>40711.621527777781</v>
      </c>
      <c r="G715" s="10">
        <v>41144</v>
      </c>
      <c r="H715" s="10">
        <v>42969</v>
      </c>
      <c r="I715" s="8" t="s">
        <v>1501</v>
      </c>
      <c r="J715" s="8" t="str">
        <f>"Southern, Kazungula"</f>
        <v>Southern, Kazungula</v>
      </c>
    </row>
    <row r="716" spans="1:10" x14ac:dyDescent="0.2">
      <c r="A716" s="1" t="str">
        <f>"16331-HQ-SEL"</f>
        <v>16331-HQ-SEL</v>
      </c>
      <c r="B716" s="5" t="s">
        <v>1502</v>
      </c>
      <c r="C716" s="5" t="s">
        <v>34</v>
      </c>
      <c r="D716" s="5" t="s">
        <v>1503</v>
      </c>
      <c r="E716" s="5" t="s">
        <v>13</v>
      </c>
      <c r="F716" s="6">
        <v>40716.525694444441</v>
      </c>
      <c r="G716" s="7">
        <v>41337</v>
      </c>
      <c r="H716" s="7">
        <v>43162</v>
      </c>
      <c r="I716" s="5" t="s">
        <v>1504</v>
      </c>
      <c r="J716" s="5" t="str">
        <f>"Lusaka, Kafue"</f>
        <v>Lusaka, Kafue</v>
      </c>
    </row>
    <row r="717" spans="1:10" x14ac:dyDescent="0.2">
      <c r="A717" s="2" t="str">
        <f>"16338-HQ-LEL"</f>
        <v>16338-HQ-LEL</v>
      </c>
      <c r="B717" s="8" t="s">
        <v>1505</v>
      </c>
      <c r="C717" s="8" t="s">
        <v>15</v>
      </c>
      <c r="D717" s="8" t="s">
        <v>1506</v>
      </c>
      <c r="E717" s="8" t="s">
        <v>72</v>
      </c>
      <c r="F717" s="9">
        <v>40717.443055555559</v>
      </c>
      <c r="G717" s="10">
        <v>41789</v>
      </c>
      <c r="H717" s="10">
        <v>43250</v>
      </c>
      <c r="I717" s="8" t="s">
        <v>1507</v>
      </c>
      <c r="J717" s="8" t="str">
        <f>"Luapula, Milenge"</f>
        <v>Luapula, Milenge</v>
      </c>
    </row>
    <row r="718" spans="1:10" x14ac:dyDescent="0.2">
      <c r="A718" s="1" t="str">
        <f>"16347-HQ-SEL"</f>
        <v>16347-HQ-SEL</v>
      </c>
      <c r="B718" s="5" t="s">
        <v>53</v>
      </c>
      <c r="C718" s="5" t="s">
        <v>34</v>
      </c>
      <c r="D718" s="5" t="s">
        <v>54</v>
      </c>
      <c r="E718" s="5" t="s">
        <v>72</v>
      </c>
      <c r="F718" s="6">
        <v>40722.402777777781</v>
      </c>
      <c r="G718" s="7">
        <v>41319</v>
      </c>
      <c r="H718" s="7">
        <v>43144</v>
      </c>
      <c r="I718" s="5" t="s">
        <v>1508</v>
      </c>
      <c r="J718" s="5" t="str">
        <f>"Copperbelt, Masaiti"</f>
        <v>Copperbelt, Masaiti</v>
      </c>
    </row>
    <row r="719" spans="1:10" x14ac:dyDescent="0.2">
      <c r="A719" s="2" t="str">
        <f>"16348-HQ-SEL"</f>
        <v>16348-HQ-SEL</v>
      </c>
      <c r="B719" s="8" t="s">
        <v>53</v>
      </c>
      <c r="C719" s="8" t="s">
        <v>34</v>
      </c>
      <c r="D719" s="8" t="s">
        <v>54</v>
      </c>
      <c r="E719" s="8" t="s">
        <v>72</v>
      </c>
      <c r="F719" s="9">
        <v>40722.40347222222</v>
      </c>
      <c r="G719" s="10">
        <v>41319</v>
      </c>
      <c r="H719" s="10">
        <v>43144</v>
      </c>
      <c r="I719" s="8" t="s">
        <v>1509</v>
      </c>
      <c r="J719" s="8" t="str">
        <f>"Copperbelt, Masaiti, Ndola"</f>
        <v>Copperbelt, Masaiti, Ndola</v>
      </c>
    </row>
    <row r="720" spans="1:10" ht="22.5" x14ac:dyDescent="0.2">
      <c r="A720" s="1" t="str">
        <f>"16349-HQ-SPP"</f>
        <v>16349-HQ-SPP</v>
      </c>
      <c r="B720" s="5" t="s">
        <v>53</v>
      </c>
      <c r="C720" s="5" t="s">
        <v>1360</v>
      </c>
      <c r="D720" s="5" t="s">
        <v>54</v>
      </c>
      <c r="E720" s="5" t="s">
        <v>530</v>
      </c>
      <c r="F720" s="6">
        <v>40722.404861111114</v>
      </c>
      <c r="G720" s="7">
        <v>41338</v>
      </c>
      <c r="H720" s="7">
        <v>43163</v>
      </c>
      <c r="I720" s="5" t="s">
        <v>1510</v>
      </c>
      <c r="J720" s="5" t="str">
        <f>"Copperbelt, Ndola"</f>
        <v>Copperbelt, Ndola</v>
      </c>
    </row>
    <row r="721" spans="1:10" x14ac:dyDescent="0.2">
      <c r="A721" s="2" t="str">
        <f>"16350-HQ-SEL"</f>
        <v>16350-HQ-SEL</v>
      </c>
      <c r="B721" s="8" t="s">
        <v>1511</v>
      </c>
      <c r="C721" s="8" t="s">
        <v>34</v>
      </c>
      <c r="D721" s="8" t="s">
        <v>54</v>
      </c>
      <c r="E721" s="8" t="s">
        <v>72</v>
      </c>
      <c r="F721" s="9">
        <v>40722.40625</v>
      </c>
      <c r="G721" s="10">
        <v>41338</v>
      </c>
      <c r="H721" s="10">
        <v>43163</v>
      </c>
      <c r="I721" s="8" t="s">
        <v>1512</v>
      </c>
      <c r="J721" s="8" t="str">
        <f>"Copperbelt, Masaiti"</f>
        <v>Copperbelt, Masaiti</v>
      </c>
    </row>
    <row r="722" spans="1:10" x14ac:dyDescent="0.2">
      <c r="A722" s="1" t="str">
        <f>"16373- HQ-SEL"</f>
        <v>16373- HQ-SEL</v>
      </c>
      <c r="B722" s="5" t="s">
        <v>1513</v>
      </c>
      <c r="C722" s="5" t="s">
        <v>34</v>
      </c>
      <c r="D722" s="5" t="s">
        <v>1514</v>
      </c>
      <c r="E722" s="5" t="s">
        <v>72</v>
      </c>
      <c r="F722" s="6">
        <v>40731.661111111112</v>
      </c>
      <c r="G722" s="7">
        <v>41061</v>
      </c>
      <c r="H722" s="7">
        <v>42886</v>
      </c>
      <c r="I722" s="5" t="s">
        <v>1515</v>
      </c>
      <c r="J722" s="5" t="str">
        <f>"Lusaka, Chongwe"</f>
        <v>Lusaka, Chongwe</v>
      </c>
    </row>
    <row r="723" spans="1:10" x14ac:dyDescent="0.2">
      <c r="A723" s="2" t="str">
        <f>"16375-HQ-SEL"</f>
        <v>16375-HQ-SEL</v>
      </c>
      <c r="B723" s="8" t="s">
        <v>1516</v>
      </c>
      <c r="C723" s="8" t="s">
        <v>34</v>
      </c>
      <c r="D723" s="8" t="s">
        <v>1027</v>
      </c>
      <c r="E723" s="8" t="s">
        <v>13</v>
      </c>
      <c r="F723" s="9">
        <v>40732.674305555556</v>
      </c>
      <c r="G723" s="10">
        <v>41486</v>
      </c>
      <c r="H723" s="10">
        <v>43311</v>
      </c>
      <c r="I723" s="8" t="s">
        <v>1517</v>
      </c>
      <c r="J723" s="8" t="str">
        <f>"Lusaka, Kafue"</f>
        <v>Lusaka, Kafue</v>
      </c>
    </row>
    <row r="724" spans="1:10" x14ac:dyDescent="0.2">
      <c r="A724" s="1" t="str">
        <f>"16379-HQ-SEL"</f>
        <v>16379-HQ-SEL</v>
      </c>
      <c r="B724" s="5" t="s">
        <v>1518</v>
      </c>
      <c r="C724" s="5" t="s">
        <v>34</v>
      </c>
      <c r="D724" s="5" t="s">
        <v>1519</v>
      </c>
      <c r="E724" s="5" t="s">
        <v>13</v>
      </c>
      <c r="F724" s="6">
        <v>40735.629166666666</v>
      </c>
      <c r="G724" s="7">
        <v>41368</v>
      </c>
      <c r="H724" s="7">
        <v>43193</v>
      </c>
      <c r="I724" s="5" t="s">
        <v>1520</v>
      </c>
      <c r="J724" s="5" t="str">
        <f>"Western, Kaoma"</f>
        <v>Western, Kaoma</v>
      </c>
    </row>
    <row r="725" spans="1:10" x14ac:dyDescent="0.2">
      <c r="A725" s="2" t="str">
        <f>"16394-HQ-SEL"</f>
        <v>16394-HQ-SEL</v>
      </c>
      <c r="B725" s="8" t="s">
        <v>1521</v>
      </c>
      <c r="C725" s="8" t="s">
        <v>34</v>
      </c>
      <c r="D725" s="8" t="s">
        <v>40</v>
      </c>
      <c r="E725" s="8" t="s">
        <v>72</v>
      </c>
      <c r="F725" s="9">
        <v>40739.523611111108</v>
      </c>
      <c r="G725" s="10">
        <v>41095</v>
      </c>
      <c r="H725" s="10">
        <v>42920</v>
      </c>
      <c r="I725" s="8" t="s">
        <v>1522</v>
      </c>
      <c r="J725" s="8" t="str">
        <f>"Copperbelt, Ndola"</f>
        <v>Copperbelt, Ndola</v>
      </c>
    </row>
    <row r="726" spans="1:10" x14ac:dyDescent="0.2">
      <c r="A726" s="1" t="str">
        <f>"16396-HQ-SEL"</f>
        <v>16396-HQ-SEL</v>
      </c>
      <c r="B726" s="5" t="s">
        <v>1502</v>
      </c>
      <c r="C726" s="5" t="s">
        <v>34</v>
      </c>
      <c r="D726" s="5" t="s">
        <v>1523</v>
      </c>
      <c r="E726" s="5" t="s">
        <v>13</v>
      </c>
      <c r="F726" s="6">
        <v>40739.616666666669</v>
      </c>
      <c r="G726" s="7">
        <v>41512</v>
      </c>
      <c r="H726" s="7">
        <v>43337</v>
      </c>
      <c r="I726" s="5" t="s">
        <v>1524</v>
      </c>
      <c r="J726" s="5" t="str">
        <f>"Lusaka, Chongwe"</f>
        <v>Lusaka, Chongwe</v>
      </c>
    </row>
    <row r="727" spans="1:10" x14ac:dyDescent="0.2">
      <c r="A727" s="2" t="str">
        <f>"16399-HQ-SEL"</f>
        <v>16399-HQ-SEL</v>
      </c>
      <c r="B727" s="8" t="s">
        <v>1525</v>
      </c>
      <c r="C727" s="8" t="s">
        <v>34</v>
      </c>
      <c r="D727" s="8" t="s">
        <v>1526</v>
      </c>
      <c r="E727" s="8" t="s">
        <v>72</v>
      </c>
      <c r="F727" s="9">
        <v>40739.659722222219</v>
      </c>
      <c r="G727" s="10">
        <v>41017</v>
      </c>
      <c r="H727" s="10">
        <v>42842</v>
      </c>
      <c r="I727" s="8" t="s">
        <v>1527</v>
      </c>
      <c r="J727" s="8" t="str">
        <f>"Central, Mkushi"</f>
        <v>Central, Mkushi</v>
      </c>
    </row>
    <row r="728" spans="1:10" x14ac:dyDescent="0.2">
      <c r="A728" s="1" t="str">
        <f>"16407-HQ-SEL"</f>
        <v>16407-HQ-SEL</v>
      </c>
      <c r="B728" s="5" t="s">
        <v>1528</v>
      </c>
      <c r="C728" s="5" t="s">
        <v>34</v>
      </c>
      <c r="D728" s="5" t="s">
        <v>813</v>
      </c>
      <c r="E728" s="5" t="s">
        <v>72</v>
      </c>
      <c r="F728" s="6">
        <v>40745.461805555555</v>
      </c>
      <c r="G728" s="7">
        <v>41074</v>
      </c>
      <c r="H728" s="7">
        <v>42899</v>
      </c>
      <c r="I728" s="5" t="s">
        <v>1529</v>
      </c>
      <c r="J728" s="5" t="str">
        <f>"Copperbelt, Lufwanyama"</f>
        <v>Copperbelt, Lufwanyama</v>
      </c>
    </row>
    <row r="729" spans="1:10" x14ac:dyDescent="0.2">
      <c r="A729" s="2" t="str">
        <f>"16416-HQ-SEL"</f>
        <v>16416-HQ-SEL</v>
      </c>
      <c r="B729" s="8" t="s">
        <v>1530</v>
      </c>
      <c r="C729" s="8" t="s">
        <v>34</v>
      </c>
      <c r="D729" s="8" t="s">
        <v>1531</v>
      </c>
      <c r="E729" s="8" t="s">
        <v>72</v>
      </c>
      <c r="F729" s="9">
        <v>40745.67291666667</v>
      </c>
      <c r="G729" s="10">
        <v>41086</v>
      </c>
      <c r="H729" s="10">
        <v>42911</v>
      </c>
      <c r="I729" s="8" t="s">
        <v>1532</v>
      </c>
      <c r="J729" s="8" t="str">
        <f>"North Western, Mufumbwe"</f>
        <v>North Western, Mufumbwe</v>
      </c>
    </row>
    <row r="730" spans="1:10" x14ac:dyDescent="0.2">
      <c r="A730" s="1" t="str">
        <f>"16417-HQ-SEL"</f>
        <v>16417-HQ-SEL</v>
      </c>
      <c r="B730" s="5" t="s">
        <v>1530</v>
      </c>
      <c r="C730" s="5" t="s">
        <v>34</v>
      </c>
      <c r="D730" s="5" t="s">
        <v>1533</v>
      </c>
      <c r="E730" s="5" t="s">
        <v>72</v>
      </c>
      <c r="F730" s="6">
        <v>40745.673611111109</v>
      </c>
      <c r="G730" s="7">
        <v>41185</v>
      </c>
      <c r="H730" s="7">
        <v>43010</v>
      </c>
      <c r="I730" s="5" t="s">
        <v>1534</v>
      </c>
      <c r="J730" s="5" t="str">
        <f>"Lusaka, Chongwe, Luangwa"</f>
        <v>Lusaka, Chongwe, Luangwa</v>
      </c>
    </row>
    <row r="731" spans="1:10" x14ac:dyDescent="0.2">
      <c r="A731" s="2" t="str">
        <f>"16424-HQ-SEL"</f>
        <v>16424-HQ-SEL</v>
      </c>
      <c r="B731" s="8" t="s">
        <v>1535</v>
      </c>
      <c r="C731" s="8" t="s">
        <v>34</v>
      </c>
      <c r="D731" s="8" t="s">
        <v>51</v>
      </c>
      <c r="E731" s="8" t="s">
        <v>72</v>
      </c>
      <c r="F731" s="9">
        <v>40749.591666666667</v>
      </c>
      <c r="G731" s="10">
        <v>41215</v>
      </c>
      <c r="H731" s="10">
        <v>43040</v>
      </c>
      <c r="I731" s="8" t="s">
        <v>1447</v>
      </c>
      <c r="J731" s="8" t="str">
        <f>"North Western, Mufumbwe"</f>
        <v>North Western, Mufumbwe</v>
      </c>
    </row>
    <row r="732" spans="1:10" x14ac:dyDescent="0.2">
      <c r="A732" s="1" t="str">
        <f>"16432-HQ-SPP"</f>
        <v>16432-HQ-SPP</v>
      </c>
      <c r="B732" s="5" t="s">
        <v>1492</v>
      </c>
      <c r="C732" s="5" t="s">
        <v>1360</v>
      </c>
      <c r="D732" s="5" t="s">
        <v>728</v>
      </c>
      <c r="E732" s="5" t="s">
        <v>72</v>
      </c>
      <c r="F732" s="6">
        <v>40752.426388888889</v>
      </c>
      <c r="G732" s="7">
        <v>41332</v>
      </c>
      <c r="H732" s="7">
        <v>43157</v>
      </c>
      <c r="I732" s="5" t="s">
        <v>1536</v>
      </c>
      <c r="J732" s="5" t="str">
        <f>"Luapula, Milenge"</f>
        <v>Luapula, Milenge</v>
      </c>
    </row>
    <row r="733" spans="1:10" x14ac:dyDescent="0.2">
      <c r="A733" s="2" t="str">
        <f>"16469-HQ-SEL"</f>
        <v>16469-HQ-SEL</v>
      </c>
      <c r="B733" s="8" t="s">
        <v>1492</v>
      </c>
      <c r="C733" s="8" t="s">
        <v>34</v>
      </c>
      <c r="D733" s="8" t="s">
        <v>1537</v>
      </c>
      <c r="E733" s="8" t="s">
        <v>13</v>
      </c>
      <c r="F733" s="9">
        <v>40753.619444444441</v>
      </c>
      <c r="G733" s="10">
        <v>41295</v>
      </c>
      <c r="H733" s="10">
        <v>43120</v>
      </c>
      <c r="I733" s="8" t="s">
        <v>1538</v>
      </c>
      <c r="J733" s="8" t="str">
        <f>"Northern, Luwingu"</f>
        <v>Northern, Luwingu</v>
      </c>
    </row>
    <row r="734" spans="1:10" x14ac:dyDescent="0.2">
      <c r="A734" s="1" t="str">
        <f>"16470-HQ-SEL"</f>
        <v>16470-HQ-SEL</v>
      </c>
      <c r="B734" s="5" t="s">
        <v>1539</v>
      </c>
      <c r="C734" s="5" t="s">
        <v>34</v>
      </c>
      <c r="D734" s="5" t="s">
        <v>60</v>
      </c>
      <c r="E734" s="5" t="s">
        <v>13</v>
      </c>
      <c r="F734" s="6">
        <v>40753.667361111111</v>
      </c>
      <c r="G734" s="7">
        <v>41344</v>
      </c>
      <c r="H734" s="7">
        <v>43169</v>
      </c>
      <c r="I734" s="5" t="s">
        <v>1540</v>
      </c>
      <c r="J734" s="5" t="str">
        <f>"North Western, Kasempa"</f>
        <v>North Western, Kasempa</v>
      </c>
    </row>
    <row r="735" spans="1:10" x14ac:dyDescent="0.2">
      <c r="A735" s="2" t="str">
        <f>"16476-HQ-AMR"</f>
        <v>16476-HQ-AMR</v>
      </c>
      <c r="B735" s="8" t="s">
        <v>1541</v>
      </c>
      <c r="C735" s="8" t="s">
        <v>19</v>
      </c>
      <c r="D735" s="8"/>
      <c r="E735" s="8" t="s">
        <v>72</v>
      </c>
      <c r="F735" s="9">
        <v>40757.693055555559</v>
      </c>
      <c r="G735" s="10">
        <v>42180</v>
      </c>
      <c r="H735" s="10">
        <v>42910</v>
      </c>
      <c r="I735" s="8" t="s">
        <v>1542</v>
      </c>
      <c r="J735" s="8" t="str">
        <f>"North Western, Kasempa"</f>
        <v>North Western, Kasempa</v>
      </c>
    </row>
    <row r="736" spans="1:10" x14ac:dyDescent="0.2">
      <c r="A736" s="1" t="str">
        <f>"16477-HQ-SEL"</f>
        <v>16477-HQ-SEL</v>
      </c>
      <c r="B736" s="5" t="s">
        <v>1543</v>
      </c>
      <c r="C736" s="5" t="s">
        <v>34</v>
      </c>
      <c r="D736" s="5" t="s">
        <v>1544</v>
      </c>
      <c r="E736" s="5" t="s">
        <v>72</v>
      </c>
      <c r="F736" s="6">
        <v>40758.455555555556</v>
      </c>
      <c r="G736" s="7">
        <v>41094</v>
      </c>
      <c r="H736" s="7">
        <v>42919</v>
      </c>
      <c r="I736" s="5" t="s">
        <v>1545</v>
      </c>
      <c r="J736" s="5" t="str">
        <f>"Central, Chibombo"</f>
        <v>Central, Chibombo</v>
      </c>
    </row>
    <row r="737" spans="1:10" x14ac:dyDescent="0.2">
      <c r="A737" s="2" t="str">
        <f>"16503-HQ-LPL"</f>
        <v>16503-HQ-LPL</v>
      </c>
      <c r="B737" s="8" t="s">
        <v>1525</v>
      </c>
      <c r="C737" s="8" t="s">
        <v>1297</v>
      </c>
      <c r="D737" s="8" t="s">
        <v>1546</v>
      </c>
      <c r="E737" s="8" t="s">
        <v>13</v>
      </c>
      <c r="F737" s="9">
        <v>40763.524305555555</v>
      </c>
      <c r="G737" s="10">
        <v>41724</v>
      </c>
      <c r="H737" s="10">
        <v>43184</v>
      </c>
      <c r="I737" s="8" t="s">
        <v>1547</v>
      </c>
      <c r="J737" s="8" t="str">
        <f>"Lusaka, Chongwe"</f>
        <v>Lusaka, Chongwe</v>
      </c>
    </row>
    <row r="738" spans="1:10" x14ac:dyDescent="0.2">
      <c r="A738" s="1" t="str">
        <f>"16633-HQ-SEL"</f>
        <v>16633-HQ-SEL</v>
      </c>
      <c r="B738" s="5" t="s">
        <v>1548</v>
      </c>
      <c r="C738" s="5" t="s">
        <v>34</v>
      </c>
      <c r="D738" s="5" t="s">
        <v>541</v>
      </c>
      <c r="E738" s="5" t="s">
        <v>72</v>
      </c>
      <c r="F738" s="6">
        <v>40774.616666666669</v>
      </c>
      <c r="G738" s="7">
        <v>41177</v>
      </c>
      <c r="H738" s="7">
        <v>43002</v>
      </c>
      <c r="I738" s="5" t="s">
        <v>1549</v>
      </c>
      <c r="J738" s="5" t="str">
        <f>"Lusaka, Lusaka"</f>
        <v>Lusaka, Lusaka</v>
      </c>
    </row>
    <row r="739" spans="1:10" x14ac:dyDescent="0.2">
      <c r="A739" s="2" t="str">
        <f>"16649-HQ-SEL"</f>
        <v>16649-HQ-SEL</v>
      </c>
      <c r="B739" s="8" t="s">
        <v>1550</v>
      </c>
      <c r="C739" s="8" t="s">
        <v>34</v>
      </c>
      <c r="D739" s="8" t="s">
        <v>541</v>
      </c>
      <c r="E739" s="8" t="s">
        <v>72</v>
      </c>
      <c r="F739" s="9">
        <v>40778.618055555555</v>
      </c>
      <c r="G739" s="10">
        <v>41232</v>
      </c>
      <c r="H739" s="10">
        <v>43057</v>
      </c>
      <c r="I739" s="8" t="s">
        <v>1551</v>
      </c>
      <c r="J739" s="8" t="str">
        <f>"Lusaka, Kafue"</f>
        <v>Lusaka, Kafue</v>
      </c>
    </row>
    <row r="740" spans="1:10" x14ac:dyDescent="0.2">
      <c r="A740" s="1" t="str">
        <f>"16664-HQ-SEL"</f>
        <v>16664-HQ-SEL</v>
      </c>
      <c r="B740" s="5" t="s">
        <v>1525</v>
      </c>
      <c r="C740" s="5" t="s">
        <v>34</v>
      </c>
      <c r="D740" s="5" t="s">
        <v>124</v>
      </c>
      <c r="E740" s="5" t="s">
        <v>13</v>
      </c>
      <c r="F740" s="6">
        <v>40780.650694444441</v>
      </c>
      <c r="G740" s="7">
        <v>41257</v>
      </c>
      <c r="H740" s="7">
        <v>43082</v>
      </c>
      <c r="I740" s="5" t="s">
        <v>1552</v>
      </c>
      <c r="J740" s="5" t="str">
        <f>"Central, Mkushi"</f>
        <v>Central, Mkushi</v>
      </c>
    </row>
    <row r="741" spans="1:10" x14ac:dyDescent="0.2">
      <c r="A741" s="2" t="str">
        <f>"16668-HQ-SEL"</f>
        <v>16668-HQ-SEL</v>
      </c>
      <c r="B741" s="8" t="s">
        <v>1553</v>
      </c>
      <c r="C741" s="8" t="s">
        <v>34</v>
      </c>
      <c r="D741" s="8" t="s">
        <v>1554</v>
      </c>
      <c r="E741" s="8" t="s">
        <v>13</v>
      </c>
      <c r="F741" s="9">
        <v>40781.510416666664</v>
      </c>
      <c r="G741" s="10">
        <v>41414</v>
      </c>
      <c r="H741" s="10">
        <v>43239</v>
      </c>
      <c r="I741" s="8" t="s">
        <v>1555</v>
      </c>
      <c r="J741" s="8" t="str">
        <f>"North Western, Solwezi"</f>
        <v>North Western, Solwezi</v>
      </c>
    </row>
    <row r="742" spans="1:10" x14ac:dyDescent="0.2">
      <c r="A742" s="1" t="str">
        <f>"16670-HQ-SEL"</f>
        <v>16670-HQ-SEL</v>
      </c>
      <c r="B742" s="5" t="s">
        <v>1556</v>
      </c>
      <c r="C742" s="5" t="s">
        <v>34</v>
      </c>
      <c r="D742" s="5" t="s">
        <v>909</v>
      </c>
      <c r="E742" s="5" t="s">
        <v>72</v>
      </c>
      <c r="F742" s="6">
        <v>40781.527777777781</v>
      </c>
      <c r="G742" s="7">
        <v>41277</v>
      </c>
      <c r="H742" s="7">
        <v>43102</v>
      </c>
      <c r="I742" s="5" t="s">
        <v>1557</v>
      </c>
      <c r="J742" s="5" t="str">
        <f>"North Western, Mufumbwe"</f>
        <v>North Western, Mufumbwe</v>
      </c>
    </row>
    <row r="743" spans="1:10" x14ac:dyDescent="0.2">
      <c r="A743" s="2" t="str">
        <f>"16677-HQ-SEL"</f>
        <v>16677-HQ-SEL</v>
      </c>
      <c r="B743" s="8" t="s">
        <v>1558</v>
      </c>
      <c r="C743" s="8" t="s">
        <v>34</v>
      </c>
      <c r="D743" s="8" t="s">
        <v>1559</v>
      </c>
      <c r="E743" s="8" t="s">
        <v>72</v>
      </c>
      <c r="F743" s="9">
        <v>40784.409722222219</v>
      </c>
      <c r="G743" s="10">
        <v>41306</v>
      </c>
      <c r="H743" s="10">
        <v>43131</v>
      </c>
      <c r="I743" s="8" t="s">
        <v>1560</v>
      </c>
      <c r="J743" s="8" t="str">
        <f>"North Western, Mufumbwe"</f>
        <v>North Western, Mufumbwe</v>
      </c>
    </row>
    <row r="744" spans="1:10" x14ac:dyDescent="0.2">
      <c r="A744" s="1" t="str">
        <f>"16721-HQ-SEL"</f>
        <v>16721-HQ-SEL</v>
      </c>
      <c r="B744" s="5" t="s">
        <v>1561</v>
      </c>
      <c r="C744" s="5" t="s">
        <v>34</v>
      </c>
      <c r="D744" s="5" t="s">
        <v>781</v>
      </c>
      <c r="E744" s="5" t="s">
        <v>13</v>
      </c>
      <c r="F744" s="6">
        <v>40787.646527777775</v>
      </c>
      <c r="G744" s="7">
        <v>41519</v>
      </c>
      <c r="H744" s="7">
        <v>43344</v>
      </c>
      <c r="I744" s="5" t="s">
        <v>1562</v>
      </c>
      <c r="J744" s="5" t="str">
        <f>"Luapula, Mwense"</f>
        <v>Luapula, Mwense</v>
      </c>
    </row>
    <row r="745" spans="1:10" x14ac:dyDescent="0.2">
      <c r="A745" s="2" t="str">
        <f>"16741-HQ-SEL"</f>
        <v>16741-HQ-SEL</v>
      </c>
      <c r="B745" s="8" t="s">
        <v>1563</v>
      </c>
      <c r="C745" s="8" t="s">
        <v>34</v>
      </c>
      <c r="D745" s="8" t="s">
        <v>781</v>
      </c>
      <c r="E745" s="8" t="s">
        <v>13</v>
      </c>
      <c r="F745" s="9">
        <v>40791.517361111109</v>
      </c>
      <c r="G745" s="10">
        <v>41551</v>
      </c>
      <c r="H745" s="10">
        <v>43376</v>
      </c>
      <c r="I745" s="8" t="s">
        <v>1564</v>
      </c>
      <c r="J745" s="8" t="str">
        <f>"Luapula, Mwense"</f>
        <v>Luapula, Mwense</v>
      </c>
    </row>
    <row r="746" spans="1:10" x14ac:dyDescent="0.2">
      <c r="A746" s="1" t="str">
        <f>"16744-HQ-SEL"</f>
        <v>16744-HQ-SEL</v>
      </c>
      <c r="B746" s="5" t="s">
        <v>1565</v>
      </c>
      <c r="C746" s="5" t="s">
        <v>34</v>
      </c>
      <c r="D746" s="5" t="s">
        <v>372</v>
      </c>
      <c r="E746" s="5" t="s">
        <v>13</v>
      </c>
      <c r="F746" s="6">
        <v>40791.651388888888</v>
      </c>
      <c r="G746" s="7">
        <v>41337</v>
      </c>
      <c r="H746" s="7">
        <v>43162</v>
      </c>
      <c r="I746" s="5" t="s">
        <v>1566</v>
      </c>
      <c r="J746" s="5" t="str">
        <f>"Lusaka, Chongwe, Lusaka"</f>
        <v>Lusaka, Chongwe, Lusaka</v>
      </c>
    </row>
    <row r="747" spans="1:10" x14ac:dyDescent="0.2">
      <c r="A747" s="2" t="str">
        <f>"16755-HQ-SEL"</f>
        <v>16755-HQ-SEL</v>
      </c>
      <c r="B747" s="8" t="s">
        <v>53</v>
      </c>
      <c r="C747" s="8" t="s">
        <v>34</v>
      </c>
      <c r="D747" s="8" t="s">
        <v>541</v>
      </c>
      <c r="E747" s="8" t="s">
        <v>13</v>
      </c>
      <c r="F747" s="9">
        <v>40792.461111111108</v>
      </c>
      <c r="G747" s="10">
        <v>41319</v>
      </c>
      <c r="H747" s="10">
        <v>43144</v>
      </c>
      <c r="I747" s="8" t="s">
        <v>1567</v>
      </c>
      <c r="J747" s="8" t="str">
        <f>"Copperbelt, Ndola"</f>
        <v>Copperbelt, Ndola</v>
      </c>
    </row>
    <row r="748" spans="1:10" x14ac:dyDescent="0.2">
      <c r="A748" s="1" t="str">
        <f>"16756-HQ-SEL"</f>
        <v>16756-HQ-SEL</v>
      </c>
      <c r="B748" s="5" t="s">
        <v>1568</v>
      </c>
      <c r="C748" s="5" t="s">
        <v>34</v>
      </c>
      <c r="D748" s="5" t="s">
        <v>541</v>
      </c>
      <c r="E748" s="5" t="s">
        <v>13</v>
      </c>
      <c r="F748" s="6">
        <v>40822.461805555555</v>
      </c>
      <c r="G748" s="7">
        <v>41319</v>
      </c>
      <c r="H748" s="7">
        <v>43144</v>
      </c>
      <c r="I748" s="5" t="s">
        <v>56</v>
      </c>
      <c r="J748" s="5" t="str">
        <f>"Copperbelt, Masaiti, Ndola"</f>
        <v>Copperbelt, Masaiti, Ndola</v>
      </c>
    </row>
    <row r="749" spans="1:10" x14ac:dyDescent="0.2">
      <c r="A749" s="2" t="str">
        <f>"16760-HQ-LEL"</f>
        <v>16760-HQ-LEL</v>
      </c>
      <c r="B749" s="8" t="s">
        <v>1569</v>
      </c>
      <c r="C749" s="8" t="s">
        <v>15</v>
      </c>
      <c r="D749" s="8" t="s">
        <v>51</v>
      </c>
      <c r="E749" s="8" t="s">
        <v>13</v>
      </c>
      <c r="F749" s="9">
        <v>40792.661111111112</v>
      </c>
      <c r="G749" s="10">
        <v>41247</v>
      </c>
      <c r="H749" s="10">
        <v>43437</v>
      </c>
      <c r="I749" s="8" t="s">
        <v>1570</v>
      </c>
      <c r="J749" s="8" t="str">
        <f>"North Western, Kabompo, Mwinilunga"</f>
        <v>North Western, Kabompo, Mwinilunga</v>
      </c>
    </row>
    <row r="750" spans="1:10" x14ac:dyDescent="0.2">
      <c r="A750" s="1" t="str">
        <f>"16766-HQ-SEL"</f>
        <v>16766-HQ-SEL</v>
      </c>
      <c r="B750" s="5" t="s">
        <v>1571</v>
      </c>
      <c r="C750" s="5" t="s">
        <v>34</v>
      </c>
      <c r="D750" s="5" t="s">
        <v>1572</v>
      </c>
      <c r="E750" s="5" t="s">
        <v>72</v>
      </c>
      <c r="F750" s="6">
        <v>41191.428622685184</v>
      </c>
      <c r="G750" s="7">
        <v>41185</v>
      </c>
      <c r="H750" s="7">
        <v>43010</v>
      </c>
      <c r="I750" s="5" t="s">
        <v>1573</v>
      </c>
      <c r="J750" s="5" t="str">
        <f>"Copperbelt, Mufulira"</f>
        <v>Copperbelt, Mufulira</v>
      </c>
    </row>
    <row r="751" spans="1:10" x14ac:dyDescent="0.2">
      <c r="A751" s="2" t="str">
        <f>"16776-HQ-SEL"</f>
        <v>16776-HQ-SEL</v>
      </c>
      <c r="B751" s="8" t="s">
        <v>1574</v>
      </c>
      <c r="C751" s="8" t="s">
        <v>34</v>
      </c>
      <c r="D751" s="8" t="s">
        <v>909</v>
      </c>
      <c r="E751" s="8" t="s">
        <v>72</v>
      </c>
      <c r="F751" s="9">
        <v>40799.491365740738</v>
      </c>
      <c r="G751" s="10">
        <v>41555</v>
      </c>
      <c r="H751" s="10">
        <v>43380</v>
      </c>
      <c r="I751" s="8" t="s">
        <v>1575</v>
      </c>
      <c r="J751" s="8" t="str">
        <f>"Luapula, Mwense"</f>
        <v>Luapula, Mwense</v>
      </c>
    </row>
    <row r="752" spans="1:10" x14ac:dyDescent="0.2">
      <c r="A752" s="1" t="str">
        <f>"16795-HQ-SEL"</f>
        <v>16795-HQ-SEL</v>
      </c>
      <c r="B752" s="5" t="s">
        <v>1576</v>
      </c>
      <c r="C752" s="5" t="s">
        <v>34</v>
      </c>
      <c r="D752" s="5" t="s">
        <v>1474</v>
      </c>
      <c r="E752" s="5" t="s">
        <v>13</v>
      </c>
      <c r="F752" s="6">
        <v>40802.693749999999</v>
      </c>
      <c r="G752" s="7">
        <v>41459</v>
      </c>
      <c r="H752" s="7">
        <v>43284</v>
      </c>
      <c r="I752" s="5" t="s">
        <v>1577</v>
      </c>
      <c r="J752" s="5" t="str">
        <f>"North Western, Mufumbwe"</f>
        <v>North Western, Mufumbwe</v>
      </c>
    </row>
    <row r="753" spans="1:10" x14ac:dyDescent="0.2">
      <c r="A753" s="2" t="str">
        <f>"16798-HQ-SEL"</f>
        <v>16798-HQ-SEL</v>
      </c>
      <c r="B753" s="8" t="s">
        <v>1499</v>
      </c>
      <c r="C753" s="8" t="s">
        <v>34</v>
      </c>
      <c r="D753" s="8" t="s">
        <v>541</v>
      </c>
      <c r="E753" s="8" t="s">
        <v>72</v>
      </c>
      <c r="F753" s="9">
        <v>40807.431250000001</v>
      </c>
      <c r="G753" s="10">
        <v>41410</v>
      </c>
      <c r="H753" s="10">
        <v>43235</v>
      </c>
      <c r="I753" s="8" t="s">
        <v>1578</v>
      </c>
      <c r="J753" s="8" t="str">
        <f>"Lusaka, Kafue"</f>
        <v>Lusaka, Kafue</v>
      </c>
    </row>
    <row r="754" spans="1:10" x14ac:dyDescent="0.2">
      <c r="A754" s="1" t="str">
        <f>"16806-HQ-LPL"</f>
        <v>16806-HQ-LPL</v>
      </c>
      <c r="B754" s="5" t="s">
        <v>1478</v>
      </c>
      <c r="C754" s="5" t="s">
        <v>1297</v>
      </c>
      <c r="D754" s="5" t="s">
        <v>205</v>
      </c>
      <c r="E754" s="5" t="s">
        <v>13</v>
      </c>
      <c r="F754" s="6">
        <v>40812.67291666667</v>
      </c>
      <c r="G754" s="7">
        <v>41397</v>
      </c>
      <c r="H754" s="7">
        <v>42857</v>
      </c>
      <c r="I754" s="5" t="s">
        <v>1579</v>
      </c>
      <c r="J754" s="5" t="str">
        <f>"Northern, Mbala, Mpulungu"</f>
        <v>Northern, Mbala, Mpulungu</v>
      </c>
    </row>
    <row r="755" spans="1:10" x14ac:dyDescent="0.2">
      <c r="A755" s="2" t="str">
        <f>"16828-HQ-SEL"</f>
        <v>16828-HQ-SEL</v>
      </c>
      <c r="B755" s="8" t="s">
        <v>1568</v>
      </c>
      <c r="C755" s="8" t="s">
        <v>34</v>
      </c>
      <c r="D755" s="8" t="s">
        <v>541</v>
      </c>
      <c r="E755" s="8" t="s">
        <v>13</v>
      </c>
      <c r="F755" s="9">
        <v>40815.438194444447</v>
      </c>
      <c r="G755" s="10">
        <v>41320</v>
      </c>
      <c r="H755" s="10">
        <v>43145</v>
      </c>
      <c r="I755" s="8" t="s">
        <v>1580</v>
      </c>
      <c r="J755" s="8" t="str">
        <f>"Copperbelt, Ndola"</f>
        <v>Copperbelt, Ndola</v>
      </c>
    </row>
    <row r="756" spans="1:10" x14ac:dyDescent="0.2">
      <c r="A756" s="1" t="str">
        <f>"16829-HQ-SEL"</f>
        <v>16829-HQ-SEL</v>
      </c>
      <c r="B756" s="5" t="s">
        <v>1568</v>
      </c>
      <c r="C756" s="5" t="s">
        <v>34</v>
      </c>
      <c r="D756" s="5" t="s">
        <v>541</v>
      </c>
      <c r="E756" s="5" t="s">
        <v>13</v>
      </c>
      <c r="F756" s="6">
        <v>40815.438888888886</v>
      </c>
      <c r="G756" s="7">
        <v>41320</v>
      </c>
      <c r="H756" s="7">
        <v>43145</v>
      </c>
      <c r="I756" s="5" t="s">
        <v>1581</v>
      </c>
      <c r="J756" s="5" t="str">
        <f>"Copperbelt, Ndola"</f>
        <v>Copperbelt, Ndola</v>
      </c>
    </row>
    <row r="757" spans="1:10" x14ac:dyDescent="0.2">
      <c r="A757" s="2" t="str">
        <f>"16831-HQ-SEL"</f>
        <v>16831-HQ-SEL</v>
      </c>
      <c r="B757" s="8" t="s">
        <v>1568</v>
      </c>
      <c r="C757" s="8" t="s">
        <v>34</v>
      </c>
      <c r="D757" s="8" t="s">
        <v>541</v>
      </c>
      <c r="E757" s="8" t="s">
        <v>72</v>
      </c>
      <c r="F757" s="9">
        <v>40815.44027777778</v>
      </c>
      <c r="G757" s="10">
        <v>41320</v>
      </c>
      <c r="H757" s="10">
        <v>43145</v>
      </c>
      <c r="I757" s="8" t="s">
        <v>2286</v>
      </c>
      <c r="J757" s="8" t="str">
        <f>"Copperbelt, Masaiti"</f>
        <v>Copperbelt, Masaiti</v>
      </c>
    </row>
    <row r="758" spans="1:10" ht="22.5" x14ac:dyDescent="0.2">
      <c r="A758" s="1" t="str">
        <f>"16832-HQ-SPP"</f>
        <v>16832-HQ-SPP</v>
      </c>
      <c r="B758" s="5" t="s">
        <v>1568</v>
      </c>
      <c r="C758" s="5" t="s">
        <v>1360</v>
      </c>
      <c r="D758" s="5" t="s">
        <v>541</v>
      </c>
      <c r="E758" s="5" t="s">
        <v>530</v>
      </c>
      <c r="F758" s="6">
        <v>40815.440972222219</v>
      </c>
      <c r="G758" s="7">
        <v>41240</v>
      </c>
      <c r="H758" s="7">
        <v>43065</v>
      </c>
      <c r="I758" s="5" t="s">
        <v>56</v>
      </c>
      <c r="J758" s="5" t="str">
        <f>"Copperbelt, Masaiti, Ndola"</f>
        <v>Copperbelt, Masaiti, Ndola</v>
      </c>
    </row>
    <row r="759" spans="1:10" x14ac:dyDescent="0.2">
      <c r="A759" s="2" t="str">
        <f>"16878-HQ-SEL"</f>
        <v>16878-HQ-SEL</v>
      </c>
      <c r="B759" s="8" t="s">
        <v>1528</v>
      </c>
      <c r="C759" s="8" t="s">
        <v>34</v>
      </c>
      <c r="D759" s="8" t="s">
        <v>589</v>
      </c>
      <c r="E759" s="8" t="s">
        <v>13</v>
      </c>
      <c r="F759" s="9">
        <v>40822.597916666666</v>
      </c>
      <c r="G759" s="10">
        <v>41515</v>
      </c>
      <c r="H759" s="10">
        <v>43340</v>
      </c>
      <c r="I759" s="8" t="s">
        <v>1582</v>
      </c>
      <c r="J759" s="8" t="str">
        <f>"Central, Mkushi"</f>
        <v>Central, Mkushi</v>
      </c>
    </row>
    <row r="760" spans="1:10" ht="33.75" x14ac:dyDescent="0.2">
      <c r="A760" s="1" t="str">
        <f>"16880-HQ-SEL"</f>
        <v>16880-HQ-SEL</v>
      </c>
      <c r="B760" s="5" t="s">
        <v>1583</v>
      </c>
      <c r="C760" s="5" t="s">
        <v>34</v>
      </c>
      <c r="D760" s="5" t="s">
        <v>1584</v>
      </c>
      <c r="E760" s="5" t="s">
        <v>72</v>
      </c>
      <c r="F760" s="6">
        <v>40822.647916666669</v>
      </c>
      <c r="G760" s="7">
        <v>41278</v>
      </c>
      <c r="H760" s="7">
        <v>43103</v>
      </c>
      <c r="I760" s="5" t="s">
        <v>1585</v>
      </c>
      <c r="J760" s="5" t="str">
        <f>"Central, Mumbwa"</f>
        <v>Central, Mumbwa</v>
      </c>
    </row>
    <row r="761" spans="1:10" x14ac:dyDescent="0.2">
      <c r="A761" s="2" t="str">
        <f>"16899-HQ-SEL"</f>
        <v>16899-HQ-SEL</v>
      </c>
      <c r="B761" s="8" t="s">
        <v>1586</v>
      </c>
      <c r="C761" s="8" t="s">
        <v>34</v>
      </c>
      <c r="D761" s="8" t="s">
        <v>848</v>
      </c>
      <c r="E761" s="8" t="s">
        <v>13</v>
      </c>
      <c r="F761" s="9">
        <v>40836.473611111112</v>
      </c>
      <c r="G761" s="10">
        <v>41499</v>
      </c>
      <c r="H761" s="10">
        <v>43324</v>
      </c>
      <c r="I761" s="8" t="s">
        <v>1587</v>
      </c>
      <c r="J761" s="8" t="str">
        <f>"Central, Mumbwa"</f>
        <v>Central, Mumbwa</v>
      </c>
    </row>
    <row r="762" spans="1:10" x14ac:dyDescent="0.2">
      <c r="A762" s="1" t="str">
        <f>"16900-HQ-SEL"</f>
        <v>16900-HQ-SEL</v>
      </c>
      <c r="B762" s="5" t="s">
        <v>1588</v>
      </c>
      <c r="C762" s="5" t="s">
        <v>34</v>
      </c>
      <c r="D762" s="5" t="s">
        <v>1589</v>
      </c>
      <c r="E762" s="5" t="s">
        <v>13</v>
      </c>
      <c r="F762" s="6">
        <v>40826.59375</v>
      </c>
      <c r="G762" s="7">
        <v>41292</v>
      </c>
      <c r="H762" s="7">
        <v>43117</v>
      </c>
      <c r="I762" s="5" t="s">
        <v>1590</v>
      </c>
      <c r="J762" s="5" t="str">
        <f>"Central, Chibombo"</f>
        <v>Central, Chibombo</v>
      </c>
    </row>
    <row r="763" spans="1:10" x14ac:dyDescent="0.2">
      <c r="A763" s="2" t="str">
        <f>"16901-HQ-LEL"</f>
        <v>16901-HQ-LEL</v>
      </c>
      <c r="B763" s="8" t="s">
        <v>1591</v>
      </c>
      <c r="C763" s="8" t="s">
        <v>15</v>
      </c>
      <c r="D763" s="8" t="s">
        <v>1474</v>
      </c>
      <c r="E763" s="8" t="s">
        <v>13</v>
      </c>
      <c r="F763" s="9">
        <v>40826.661805555559</v>
      </c>
      <c r="G763" s="10">
        <v>41887</v>
      </c>
      <c r="H763" s="10">
        <v>43348</v>
      </c>
      <c r="I763" s="8" t="s">
        <v>2287</v>
      </c>
      <c r="J763" s="8" t="str">
        <f>"Central, Mkushi"</f>
        <v>Central, Mkushi</v>
      </c>
    </row>
    <row r="764" spans="1:10" x14ac:dyDescent="0.2">
      <c r="A764" s="1" t="str">
        <f>"16904-HQ-SEL"</f>
        <v>16904-HQ-SEL</v>
      </c>
      <c r="B764" s="5" t="s">
        <v>551</v>
      </c>
      <c r="C764" s="5" t="s">
        <v>34</v>
      </c>
      <c r="D764" s="5" t="s">
        <v>28</v>
      </c>
      <c r="E764" s="5" t="s">
        <v>13</v>
      </c>
      <c r="F764" s="6">
        <v>40827.593055555553</v>
      </c>
      <c r="G764" s="7">
        <v>41561</v>
      </c>
      <c r="H764" s="7">
        <v>43386</v>
      </c>
      <c r="I764" s="5" t="s">
        <v>1592</v>
      </c>
      <c r="J764" s="5" t="str">
        <f>"Copperbelt, Ndola"</f>
        <v>Copperbelt, Ndola</v>
      </c>
    </row>
    <row r="765" spans="1:10" ht="22.5" x14ac:dyDescent="0.2">
      <c r="A765" s="2" t="str">
        <f>"16918-HQ-LPL"</f>
        <v>16918-HQ-LPL</v>
      </c>
      <c r="B765" s="8" t="s">
        <v>1593</v>
      </c>
      <c r="C765" s="8" t="s">
        <v>1297</v>
      </c>
      <c r="D765" s="8" t="s">
        <v>1594</v>
      </c>
      <c r="E765" s="8" t="s">
        <v>72</v>
      </c>
      <c r="F765" s="9">
        <v>40830.640972222223</v>
      </c>
      <c r="G765" s="10">
        <v>41296</v>
      </c>
      <c r="H765" s="10">
        <v>42756</v>
      </c>
      <c r="I765" s="8" t="s">
        <v>1595</v>
      </c>
      <c r="J765" s="8" t="str">
        <f>"Central, Mumbwa"</f>
        <v>Central, Mumbwa</v>
      </c>
    </row>
    <row r="766" spans="1:10" x14ac:dyDescent="0.2">
      <c r="A766" s="1" t="str">
        <f>"17100-HQ-SEL"</f>
        <v>17100-HQ-SEL</v>
      </c>
      <c r="B766" s="5" t="s">
        <v>1596</v>
      </c>
      <c r="C766" s="5" t="s">
        <v>34</v>
      </c>
      <c r="D766" s="5" t="s">
        <v>1597</v>
      </c>
      <c r="E766" s="5" t="s">
        <v>13</v>
      </c>
      <c r="F766" s="6">
        <v>41064.650694444441</v>
      </c>
      <c r="G766" s="7">
        <v>41404</v>
      </c>
      <c r="H766" s="7">
        <v>43229</v>
      </c>
      <c r="I766" s="5" t="s">
        <v>1598</v>
      </c>
      <c r="J766" s="5" t="str">
        <f>"Central, Kapiri Mposhi"</f>
        <v>Central, Kapiri Mposhi</v>
      </c>
    </row>
    <row r="767" spans="1:10" x14ac:dyDescent="0.2">
      <c r="A767" s="2" t="str">
        <f>" 17117-HQ-LEL"</f>
        <v xml:space="preserve"> 17117-HQ-LEL</v>
      </c>
      <c r="B767" s="8" t="s">
        <v>1599</v>
      </c>
      <c r="C767" s="8" t="s">
        <v>15</v>
      </c>
      <c r="D767" s="8" t="s">
        <v>1600</v>
      </c>
      <c r="E767" s="8" t="s">
        <v>72</v>
      </c>
      <c r="F767" s="9">
        <v>41064.679861111108</v>
      </c>
      <c r="G767" s="10">
        <v>41935</v>
      </c>
      <c r="H767" s="10">
        <v>43396</v>
      </c>
      <c r="I767" s="8" t="s">
        <v>1601</v>
      </c>
      <c r="J767" s="8" t="str">
        <f>"Copperbelt, Mpongwe"</f>
        <v>Copperbelt, Mpongwe</v>
      </c>
    </row>
    <row r="768" spans="1:10" x14ac:dyDescent="0.2">
      <c r="A768" s="1" t="str">
        <f>"17168-HQ-LPL"</f>
        <v>17168-HQ-LPL</v>
      </c>
      <c r="B768" s="5" t="s">
        <v>1602</v>
      </c>
      <c r="C768" s="5" t="s">
        <v>1297</v>
      </c>
      <c r="D768" s="5" t="s">
        <v>1603</v>
      </c>
      <c r="E768" s="5" t="s">
        <v>13</v>
      </c>
      <c r="F768" s="6">
        <v>41064.768750000003</v>
      </c>
      <c r="G768" s="7">
        <v>41313</v>
      </c>
      <c r="H768" s="7">
        <v>42773</v>
      </c>
      <c r="I768" s="5" t="s">
        <v>1604</v>
      </c>
      <c r="J768" s="5" t="str">
        <f>"North Western, Chavuma, Zambezi"</f>
        <v>North Western, Chavuma, Zambezi</v>
      </c>
    </row>
    <row r="769" spans="1:10" x14ac:dyDescent="0.2">
      <c r="A769" s="2" t="str">
        <f>"17286-HQ-SEL"</f>
        <v>17286-HQ-SEL</v>
      </c>
      <c r="B769" s="8" t="s">
        <v>1605</v>
      </c>
      <c r="C769" s="8" t="s">
        <v>34</v>
      </c>
      <c r="D769" s="8" t="s">
        <v>58</v>
      </c>
      <c r="E769" s="8" t="s">
        <v>13</v>
      </c>
      <c r="F769" s="9">
        <v>41065.667361111111</v>
      </c>
      <c r="G769" s="10">
        <v>41317</v>
      </c>
      <c r="H769" s="10">
        <v>43142</v>
      </c>
      <c r="I769" s="8" t="s">
        <v>1606</v>
      </c>
      <c r="J769" s="8" t="str">
        <f>"North Western, Solwezi"</f>
        <v>North Western, Solwezi</v>
      </c>
    </row>
    <row r="770" spans="1:10" ht="22.5" x14ac:dyDescent="0.2">
      <c r="A770" s="1" t="str">
        <f>"17291-HQ-LEL"</f>
        <v>17291-HQ-LEL</v>
      </c>
      <c r="B770" s="5" t="s">
        <v>1607</v>
      </c>
      <c r="C770" s="5" t="s">
        <v>15</v>
      </c>
      <c r="D770" s="5" t="s">
        <v>1608</v>
      </c>
      <c r="E770" s="5" t="s">
        <v>489</v>
      </c>
      <c r="F770" s="6">
        <v>41065.68472222222</v>
      </c>
      <c r="G770" s="7">
        <v>41423</v>
      </c>
      <c r="H770" s="7">
        <v>42883</v>
      </c>
      <c r="I770" s="5" t="s">
        <v>2288</v>
      </c>
      <c r="J770" s="5" t="str">
        <f>"North Western, Solwezi"</f>
        <v>North Western, Solwezi</v>
      </c>
    </row>
    <row r="771" spans="1:10" ht="22.5" x14ac:dyDescent="0.2">
      <c r="A771" s="2" t="str">
        <f>"17293-HQ-SEL"</f>
        <v>17293-HQ-SEL</v>
      </c>
      <c r="B771" s="8" t="s">
        <v>1609</v>
      </c>
      <c r="C771" s="8" t="s">
        <v>34</v>
      </c>
      <c r="D771" s="8" t="s">
        <v>167</v>
      </c>
      <c r="E771" s="8" t="s">
        <v>72</v>
      </c>
      <c r="F771" s="9">
        <v>41065.686111111114</v>
      </c>
      <c r="G771" s="10">
        <v>41316</v>
      </c>
      <c r="H771" s="10">
        <v>43141</v>
      </c>
      <c r="I771" s="8" t="s">
        <v>1610</v>
      </c>
      <c r="J771" s="8" t="str">
        <f>"Lusaka, Chongwe"</f>
        <v>Lusaka, Chongwe</v>
      </c>
    </row>
    <row r="772" spans="1:10" x14ac:dyDescent="0.2">
      <c r="A772" s="1" t="str">
        <f>"17316-HQ-LEL"</f>
        <v>17316-HQ-LEL</v>
      </c>
      <c r="B772" s="5" t="s">
        <v>713</v>
      </c>
      <c r="C772" s="5" t="s">
        <v>15</v>
      </c>
      <c r="D772" s="5" t="s">
        <v>1611</v>
      </c>
      <c r="E772" s="5" t="s">
        <v>72</v>
      </c>
      <c r="F772" s="6">
        <v>41066.388194444444</v>
      </c>
      <c r="G772" s="7">
        <v>41451</v>
      </c>
      <c r="H772" s="7">
        <v>42912</v>
      </c>
      <c r="I772" s="5" t="s">
        <v>1612</v>
      </c>
      <c r="J772" s="5" t="str">
        <f>"North Western, Kasempa"</f>
        <v>North Western, Kasempa</v>
      </c>
    </row>
    <row r="773" spans="1:10" x14ac:dyDescent="0.2">
      <c r="A773" s="2" t="str">
        <f>"17336-HQ-SEL"</f>
        <v>17336-HQ-SEL</v>
      </c>
      <c r="B773" s="8" t="s">
        <v>1613</v>
      </c>
      <c r="C773" s="8" t="s">
        <v>34</v>
      </c>
      <c r="D773" s="8" t="s">
        <v>1614</v>
      </c>
      <c r="E773" s="8" t="s">
        <v>13</v>
      </c>
      <c r="F773" s="9">
        <v>41066.440972222219</v>
      </c>
      <c r="G773" s="10">
        <v>41450</v>
      </c>
      <c r="H773" s="10">
        <v>43275</v>
      </c>
      <c r="I773" s="8" t="s">
        <v>1615</v>
      </c>
      <c r="J773" s="8" t="str">
        <f>"Central, Mkushi"</f>
        <v>Central, Mkushi</v>
      </c>
    </row>
    <row r="774" spans="1:10" x14ac:dyDescent="0.2">
      <c r="A774" s="1" t="str">
        <f>" 17363-HQ-LEL"</f>
        <v xml:space="preserve"> 17363-HQ-LEL</v>
      </c>
      <c r="B774" s="5" t="s">
        <v>421</v>
      </c>
      <c r="C774" s="5" t="s">
        <v>15</v>
      </c>
      <c r="D774" s="5" t="s">
        <v>1616</v>
      </c>
      <c r="E774" s="5" t="s">
        <v>138</v>
      </c>
      <c r="F774" s="6">
        <v>41066.48541666667</v>
      </c>
      <c r="G774" s="7">
        <v>41340</v>
      </c>
      <c r="H774" s="7">
        <v>42800</v>
      </c>
      <c r="I774" s="5" t="s">
        <v>1617</v>
      </c>
      <c r="J774" s="5" t="str">
        <f>"North Western, Kabompo, Zambezi"</f>
        <v>North Western, Kabompo, Zambezi</v>
      </c>
    </row>
    <row r="775" spans="1:10" x14ac:dyDescent="0.2">
      <c r="A775" s="2" t="str">
        <f>"17416-HQ-LEL"</f>
        <v>17416-HQ-LEL</v>
      </c>
      <c r="B775" s="8" t="s">
        <v>1602</v>
      </c>
      <c r="C775" s="8" t="s">
        <v>15</v>
      </c>
      <c r="D775" s="8" t="s">
        <v>1618</v>
      </c>
      <c r="E775" s="8" t="s">
        <v>13</v>
      </c>
      <c r="F775" s="9">
        <v>41066.646527777775</v>
      </c>
      <c r="G775" s="10">
        <v>41479</v>
      </c>
      <c r="H775" s="10">
        <v>42939</v>
      </c>
      <c r="I775" s="8" t="s">
        <v>1619</v>
      </c>
      <c r="J775" s="8" t="str">
        <f>"North Western, Zambezi; Western, Lukulu"</f>
        <v>North Western, Zambezi; Western, Lukulu</v>
      </c>
    </row>
    <row r="776" spans="1:10" x14ac:dyDescent="0.2">
      <c r="A776" s="1" t="str">
        <f>"17438-HQ-SEL"</f>
        <v>17438-HQ-SEL</v>
      </c>
      <c r="B776" s="5" t="s">
        <v>1620</v>
      </c>
      <c r="C776" s="5" t="s">
        <v>34</v>
      </c>
      <c r="D776" s="5" t="s">
        <v>541</v>
      </c>
      <c r="E776" s="5" t="s">
        <v>13</v>
      </c>
      <c r="F776" s="6">
        <v>41066.684027777781</v>
      </c>
      <c r="G776" s="7">
        <v>41310</v>
      </c>
      <c r="H776" s="7">
        <v>43135</v>
      </c>
      <c r="I776" s="5" t="s">
        <v>1621</v>
      </c>
      <c r="J776" s="5" t="str">
        <f>"Copperbelt, Ndola"</f>
        <v>Copperbelt, Ndola</v>
      </c>
    </row>
    <row r="777" spans="1:10" x14ac:dyDescent="0.2">
      <c r="A777" s="2" t="str">
        <f>"17461-HQ-LEL"</f>
        <v>17461-HQ-LEL</v>
      </c>
      <c r="B777" s="8" t="s">
        <v>1602</v>
      </c>
      <c r="C777" s="8" t="s">
        <v>15</v>
      </c>
      <c r="D777" s="8" t="s">
        <v>1603</v>
      </c>
      <c r="E777" s="8" t="s">
        <v>13</v>
      </c>
      <c r="F777" s="9">
        <v>41067.516932870371</v>
      </c>
      <c r="G777" s="10">
        <v>41514</v>
      </c>
      <c r="H777" s="10">
        <v>42974</v>
      </c>
      <c r="I777" s="8" t="s">
        <v>2289</v>
      </c>
      <c r="J777" s="8" t="str">
        <f>"North Western, Zambezi"</f>
        <v>North Western, Zambezi</v>
      </c>
    </row>
    <row r="778" spans="1:10" x14ac:dyDescent="0.2">
      <c r="A778" s="1" t="str">
        <f>"17486-HQ-SEL"</f>
        <v>17486-HQ-SEL</v>
      </c>
      <c r="B778" s="5" t="s">
        <v>1622</v>
      </c>
      <c r="C778" s="5" t="s">
        <v>34</v>
      </c>
      <c r="D778" s="5" t="s">
        <v>1623</v>
      </c>
      <c r="E778" s="5" t="s">
        <v>13</v>
      </c>
      <c r="F778" s="6">
        <v>41068.636805555558</v>
      </c>
      <c r="G778" s="7">
        <v>41332</v>
      </c>
      <c r="H778" s="7">
        <v>43157</v>
      </c>
      <c r="I778" s="5" t="s">
        <v>1624</v>
      </c>
      <c r="J778" s="5" t="str">
        <f>"North Western, Mwinilunga"</f>
        <v>North Western, Mwinilunga</v>
      </c>
    </row>
    <row r="779" spans="1:10" x14ac:dyDescent="0.2">
      <c r="A779" s="2" t="str">
        <f>"17495-HQ-SEL"</f>
        <v>17495-HQ-SEL</v>
      </c>
      <c r="B779" s="8" t="s">
        <v>1622</v>
      </c>
      <c r="C779" s="8" t="s">
        <v>34</v>
      </c>
      <c r="D779" s="8" t="s">
        <v>1258</v>
      </c>
      <c r="E779" s="8" t="s">
        <v>13</v>
      </c>
      <c r="F779" s="9">
        <v>41068.459027777775</v>
      </c>
      <c r="G779" s="10">
        <v>41431</v>
      </c>
      <c r="H779" s="10">
        <v>43256</v>
      </c>
      <c r="I779" s="8" t="s">
        <v>1625</v>
      </c>
      <c r="J779" s="8" t="str">
        <f>""</f>
        <v/>
      </c>
    </row>
    <row r="780" spans="1:10" x14ac:dyDescent="0.2">
      <c r="A780" s="1" t="str">
        <f>"17503-HQ-SEL"</f>
        <v>17503-HQ-SEL</v>
      </c>
      <c r="B780" s="5" t="s">
        <v>1626</v>
      </c>
      <c r="C780" s="5" t="s">
        <v>34</v>
      </c>
      <c r="D780" s="5" t="s">
        <v>1627</v>
      </c>
      <c r="E780" s="5" t="s">
        <v>13</v>
      </c>
      <c r="F780" s="6">
        <v>41071.505555555559</v>
      </c>
      <c r="G780" s="7">
        <v>41523</v>
      </c>
      <c r="H780" s="7">
        <v>43348</v>
      </c>
      <c r="I780" s="5" t="s">
        <v>1628</v>
      </c>
      <c r="J780" s="5" t="str">
        <f>"Central, Mkushi"</f>
        <v>Central, Mkushi</v>
      </c>
    </row>
    <row r="781" spans="1:10" x14ac:dyDescent="0.2">
      <c r="A781" s="2" t="str">
        <f>"17541-HQ-SEL"</f>
        <v>17541-HQ-SEL</v>
      </c>
      <c r="B781" s="8" t="s">
        <v>1629</v>
      </c>
      <c r="C781" s="8" t="s">
        <v>34</v>
      </c>
      <c r="D781" s="8" t="s">
        <v>1519</v>
      </c>
      <c r="E781" s="8" t="s">
        <v>72</v>
      </c>
      <c r="F781" s="9">
        <v>41072.553472222222</v>
      </c>
      <c r="G781" s="10">
        <v>41554</v>
      </c>
      <c r="H781" s="10">
        <v>43379</v>
      </c>
      <c r="I781" s="8" t="s">
        <v>2290</v>
      </c>
      <c r="J781" s="8" t="str">
        <f>"Copperbelt, Chingola"</f>
        <v>Copperbelt, Chingola</v>
      </c>
    </row>
    <row r="782" spans="1:10" x14ac:dyDescent="0.2">
      <c r="A782" s="1" t="str">
        <f>"17588-HQ-LEL"</f>
        <v>17588-HQ-LEL</v>
      </c>
      <c r="B782" s="5" t="s">
        <v>178</v>
      </c>
      <c r="C782" s="5" t="s">
        <v>15</v>
      </c>
      <c r="D782" s="5" t="s">
        <v>1630</v>
      </c>
      <c r="E782" s="5" t="s">
        <v>13</v>
      </c>
      <c r="F782" s="6">
        <v>41075.486805555556</v>
      </c>
      <c r="G782" s="7">
        <v>41866</v>
      </c>
      <c r="H782" s="7">
        <v>43327</v>
      </c>
      <c r="I782" s="5" t="s">
        <v>2291</v>
      </c>
      <c r="J782" s="5" t="str">
        <f>"Central, Mumbwa"</f>
        <v>Central, Mumbwa</v>
      </c>
    </row>
    <row r="783" spans="1:10" x14ac:dyDescent="0.2">
      <c r="A783" s="2" t="str">
        <f>"17618-HQ- SEL"</f>
        <v>17618-HQ- SEL</v>
      </c>
      <c r="B783" s="8" t="s">
        <v>1631</v>
      </c>
      <c r="C783" s="8" t="s">
        <v>34</v>
      </c>
      <c r="D783" s="8" t="s">
        <v>541</v>
      </c>
      <c r="E783" s="8" t="s">
        <v>13</v>
      </c>
      <c r="F783" s="9">
        <v>41081.509722222225</v>
      </c>
      <c r="G783" s="10">
        <v>41566</v>
      </c>
      <c r="H783" s="10">
        <v>43391</v>
      </c>
      <c r="I783" s="8" t="s">
        <v>1632</v>
      </c>
      <c r="J783" s="8" t="str">
        <f>"Lusaka, Kafue"</f>
        <v>Lusaka, Kafue</v>
      </c>
    </row>
    <row r="784" spans="1:10" x14ac:dyDescent="0.2">
      <c r="A784" s="1" t="str">
        <f>"17650-HQ-SEL"</f>
        <v>17650-HQ-SEL</v>
      </c>
      <c r="B784" s="5" t="s">
        <v>1633</v>
      </c>
      <c r="C784" s="5" t="s">
        <v>34</v>
      </c>
      <c r="D784" s="5" t="s">
        <v>40</v>
      </c>
      <c r="E784" s="5" t="s">
        <v>13</v>
      </c>
      <c r="F784" s="6">
        <v>41117.425694444442</v>
      </c>
      <c r="G784" s="7">
        <v>41416</v>
      </c>
      <c r="H784" s="7">
        <v>43241</v>
      </c>
      <c r="I784" s="5" t="s">
        <v>1634</v>
      </c>
      <c r="J784" s="5" t="str">
        <f>"North Western, Solwezi"</f>
        <v>North Western, Solwezi</v>
      </c>
    </row>
    <row r="785" spans="1:10" x14ac:dyDescent="0.2">
      <c r="A785" s="2" t="str">
        <f>"17655-HQ-SEL"</f>
        <v>17655-HQ-SEL</v>
      </c>
      <c r="B785" s="8" t="s">
        <v>1635</v>
      </c>
      <c r="C785" s="8" t="s">
        <v>34</v>
      </c>
      <c r="D785" s="8" t="s">
        <v>541</v>
      </c>
      <c r="E785" s="8" t="s">
        <v>13</v>
      </c>
      <c r="F785" s="9">
        <v>41087.477777777778</v>
      </c>
      <c r="G785" s="10">
        <v>41533</v>
      </c>
      <c r="H785" s="10">
        <v>43358</v>
      </c>
      <c r="I785" s="8" t="s">
        <v>1636</v>
      </c>
      <c r="J785" s="8" t="str">
        <f>"Lusaka, Kafue"</f>
        <v>Lusaka, Kafue</v>
      </c>
    </row>
    <row r="786" spans="1:10" x14ac:dyDescent="0.2">
      <c r="A786" s="1" t="str">
        <f>"17674-HQ-SEL"</f>
        <v>17674-HQ-SEL</v>
      </c>
      <c r="B786" s="5" t="s">
        <v>1637</v>
      </c>
      <c r="C786" s="5" t="s">
        <v>34</v>
      </c>
      <c r="D786" s="5" t="s">
        <v>1638</v>
      </c>
      <c r="E786" s="5" t="s">
        <v>13</v>
      </c>
      <c r="F786" s="6">
        <v>41088.477083333331</v>
      </c>
      <c r="G786" s="7">
        <v>41318</v>
      </c>
      <c r="H786" s="7">
        <v>43143</v>
      </c>
      <c r="I786" s="5" t="s">
        <v>1639</v>
      </c>
      <c r="J786" s="5" t="str">
        <f>"Southern, Kalomo"</f>
        <v>Southern, Kalomo</v>
      </c>
    </row>
    <row r="787" spans="1:10" x14ac:dyDescent="0.2">
      <c r="A787" s="2" t="str">
        <f>"17679-HQ-SEL"</f>
        <v>17679-HQ-SEL</v>
      </c>
      <c r="B787" s="8" t="s">
        <v>1640</v>
      </c>
      <c r="C787" s="8" t="s">
        <v>34</v>
      </c>
      <c r="D787" s="8" t="s">
        <v>308</v>
      </c>
      <c r="E787" s="8" t="s">
        <v>13</v>
      </c>
      <c r="F787" s="9">
        <v>41089.429861111108</v>
      </c>
      <c r="G787" s="10">
        <v>41402</v>
      </c>
      <c r="H787" s="10">
        <v>43227</v>
      </c>
      <c r="I787" s="8" t="s">
        <v>1641</v>
      </c>
      <c r="J787" s="8" t="str">
        <f>"Central, Chibombo, Mumbwa"</f>
        <v>Central, Chibombo, Mumbwa</v>
      </c>
    </row>
    <row r="788" spans="1:10" x14ac:dyDescent="0.2">
      <c r="A788" s="1" t="str">
        <f>"17715-HQ-SEL"</f>
        <v>17715-HQ-SEL</v>
      </c>
      <c r="B788" s="5" t="s">
        <v>1642</v>
      </c>
      <c r="C788" s="5" t="s">
        <v>34</v>
      </c>
      <c r="D788" s="5" t="s">
        <v>102</v>
      </c>
      <c r="E788" s="5" t="s">
        <v>13</v>
      </c>
      <c r="F788" s="6">
        <v>41100.495138888888</v>
      </c>
      <c r="G788" s="7">
        <v>41495</v>
      </c>
      <c r="H788" s="7">
        <v>43320</v>
      </c>
      <c r="I788" s="5" t="s">
        <v>1643</v>
      </c>
      <c r="J788" s="5" t="str">
        <f>"North Western, Solwezi"</f>
        <v>North Western, Solwezi</v>
      </c>
    </row>
    <row r="789" spans="1:10" x14ac:dyDescent="0.2">
      <c r="A789" s="2" t="str">
        <f>"17716-HQ-SEL"</f>
        <v>17716-HQ-SEL</v>
      </c>
      <c r="B789" s="8" t="s">
        <v>1644</v>
      </c>
      <c r="C789" s="8" t="s">
        <v>34</v>
      </c>
      <c r="D789" s="8" t="s">
        <v>589</v>
      </c>
      <c r="E789" s="8" t="s">
        <v>13</v>
      </c>
      <c r="F789" s="9">
        <v>41100.495833333334</v>
      </c>
      <c r="G789" s="10">
        <v>41520</v>
      </c>
      <c r="H789" s="10">
        <v>43345</v>
      </c>
      <c r="I789" s="8" t="s">
        <v>1645</v>
      </c>
      <c r="J789" s="8" t="str">
        <f>"Central, Mkushi"</f>
        <v>Central, Mkushi</v>
      </c>
    </row>
    <row r="790" spans="1:10" x14ac:dyDescent="0.2">
      <c r="A790" s="1" t="str">
        <f>"17721-HQ-SEL"</f>
        <v>17721-HQ-SEL</v>
      </c>
      <c r="B790" s="5" t="s">
        <v>1450</v>
      </c>
      <c r="C790" s="5" t="s">
        <v>34</v>
      </c>
      <c r="D790" s="5" t="s">
        <v>1141</v>
      </c>
      <c r="E790" s="5" t="s">
        <v>72</v>
      </c>
      <c r="F790" s="6">
        <v>41101.413194444445</v>
      </c>
      <c r="G790" s="7">
        <v>41324</v>
      </c>
      <c r="H790" s="7">
        <v>43149</v>
      </c>
      <c r="I790" s="5" t="s">
        <v>1646</v>
      </c>
      <c r="J790" s="5" t="str">
        <f>"Southern, Choma"</f>
        <v>Southern, Choma</v>
      </c>
    </row>
    <row r="791" spans="1:10" x14ac:dyDescent="0.2">
      <c r="A791" s="2" t="str">
        <f>"17722-HQ-SEL"</f>
        <v>17722-HQ-SEL</v>
      </c>
      <c r="B791" s="8" t="s">
        <v>1450</v>
      </c>
      <c r="C791" s="8" t="s">
        <v>34</v>
      </c>
      <c r="D791" s="8" t="s">
        <v>1141</v>
      </c>
      <c r="E791" s="8" t="s">
        <v>72</v>
      </c>
      <c r="F791" s="9">
        <v>41101.413888888892</v>
      </c>
      <c r="G791" s="10">
        <v>41324</v>
      </c>
      <c r="H791" s="10">
        <v>43149</v>
      </c>
      <c r="I791" s="8" t="s">
        <v>1647</v>
      </c>
      <c r="J791" s="8" t="str">
        <f>"Southern, Choma"</f>
        <v>Southern, Choma</v>
      </c>
    </row>
    <row r="792" spans="1:10" x14ac:dyDescent="0.2">
      <c r="A792" s="1" t="str">
        <f>"17723-HQ-SEL"</f>
        <v>17723-HQ-SEL</v>
      </c>
      <c r="B792" s="5" t="s">
        <v>1450</v>
      </c>
      <c r="C792" s="5" t="s">
        <v>34</v>
      </c>
      <c r="D792" s="5" t="s">
        <v>1141</v>
      </c>
      <c r="E792" s="5" t="s">
        <v>72</v>
      </c>
      <c r="F792" s="6">
        <v>41101.414583333331</v>
      </c>
      <c r="G792" s="7">
        <v>41324</v>
      </c>
      <c r="H792" s="7">
        <v>43149</v>
      </c>
      <c r="I792" s="5" t="s">
        <v>1648</v>
      </c>
      <c r="J792" s="5" t="str">
        <f>"Southern, Choma, Sinazongwe"</f>
        <v>Southern, Choma, Sinazongwe</v>
      </c>
    </row>
    <row r="793" spans="1:10" x14ac:dyDescent="0.2">
      <c r="A793" s="2" t="str">
        <f>"17740-HQ-SEL"</f>
        <v>17740-HQ-SEL</v>
      </c>
      <c r="B793" s="8" t="s">
        <v>1649</v>
      </c>
      <c r="C793" s="8" t="s">
        <v>34</v>
      </c>
      <c r="D793" s="8" t="s">
        <v>678</v>
      </c>
      <c r="E793" s="8" t="s">
        <v>72</v>
      </c>
      <c r="F793" s="9">
        <v>41103.45208333333</v>
      </c>
      <c r="G793" s="10">
        <v>41404</v>
      </c>
      <c r="H793" s="10">
        <v>43229</v>
      </c>
      <c r="I793" s="8" t="s">
        <v>1650</v>
      </c>
      <c r="J793" s="8" t="str">
        <f>"Lusaka, Kafue"</f>
        <v>Lusaka, Kafue</v>
      </c>
    </row>
    <row r="794" spans="1:10" x14ac:dyDescent="0.2">
      <c r="A794" s="1" t="str">
        <f>"17741-HQ-AMR"</f>
        <v>17741-HQ-AMR</v>
      </c>
      <c r="B794" s="5" t="s">
        <v>1651</v>
      </c>
      <c r="C794" s="5" t="s">
        <v>19</v>
      </c>
      <c r="D794" s="5" t="s">
        <v>589</v>
      </c>
      <c r="E794" s="5" t="s">
        <v>72</v>
      </c>
      <c r="F794" s="6">
        <v>41103.51666666667</v>
      </c>
      <c r="G794" s="7">
        <v>41414</v>
      </c>
      <c r="H794" s="7">
        <v>42874</v>
      </c>
      <c r="I794" s="5" t="s">
        <v>1652</v>
      </c>
      <c r="J794" s="5" t="str">
        <f>""</f>
        <v/>
      </c>
    </row>
    <row r="795" spans="1:10" x14ac:dyDescent="0.2">
      <c r="A795" s="2" t="str">
        <f>"17750-HQ-SEL"</f>
        <v>17750-HQ-SEL</v>
      </c>
      <c r="B795" s="8" t="s">
        <v>1653</v>
      </c>
      <c r="C795" s="8" t="s">
        <v>34</v>
      </c>
      <c r="D795" s="8" t="s">
        <v>1654</v>
      </c>
      <c r="E795" s="8" t="s">
        <v>72</v>
      </c>
      <c r="F795" s="9">
        <v>41106.529166666667</v>
      </c>
      <c r="G795" s="10">
        <v>41480</v>
      </c>
      <c r="H795" s="10">
        <v>43305</v>
      </c>
      <c r="I795" s="8" t="s">
        <v>1655</v>
      </c>
      <c r="J795" s="8" t="str">
        <f>"North Western, Solwezi"</f>
        <v>North Western, Solwezi</v>
      </c>
    </row>
    <row r="796" spans="1:10" x14ac:dyDescent="0.2">
      <c r="A796" s="1" t="str">
        <f>"17756-HQ-SEL"</f>
        <v>17756-HQ-SEL</v>
      </c>
      <c r="B796" s="5"/>
      <c r="C796" s="5" t="s">
        <v>34</v>
      </c>
      <c r="D796" s="5" t="s">
        <v>1222</v>
      </c>
      <c r="E796" s="5" t="s">
        <v>72</v>
      </c>
      <c r="F796" s="6">
        <v>41107.454861111109</v>
      </c>
      <c r="G796" s="7">
        <v>41423</v>
      </c>
      <c r="H796" s="7">
        <v>43248</v>
      </c>
      <c r="I796" s="5" t="s">
        <v>1656</v>
      </c>
      <c r="J796" s="5" t="str">
        <f>"North Western, Mufumbwe"</f>
        <v>North Western, Mufumbwe</v>
      </c>
    </row>
    <row r="797" spans="1:10" x14ac:dyDescent="0.2">
      <c r="A797" s="2" t="str">
        <f>"17768-HQ-SEL"</f>
        <v>17768-HQ-SEL</v>
      </c>
      <c r="B797" s="8" t="s">
        <v>1657</v>
      </c>
      <c r="C797" s="8" t="s">
        <v>34</v>
      </c>
      <c r="D797" s="8" t="s">
        <v>156</v>
      </c>
      <c r="E797" s="8" t="s">
        <v>13</v>
      </c>
      <c r="F797" s="9">
        <v>41108.538888888892</v>
      </c>
      <c r="G797" s="10">
        <v>41612</v>
      </c>
      <c r="H797" s="10">
        <v>43437</v>
      </c>
      <c r="I797" s="8" t="s">
        <v>1658</v>
      </c>
      <c r="J797" s="8" t="str">
        <f>"Central, Kapiri Mposhi"</f>
        <v>Central, Kapiri Mposhi</v>
      </c>
    </row>
    <row r="798" spans="1:10" ht="22.5" x14ac:dyDescent="0.2">
      <c r="A798" s="1" t="str">
        <f>"17783-HQ-LEL"</f>
        <v>17783-HQ-LEL</v>
      </c>
      <c r="B798" s="5" t="s">
        <v>1659</v>
      </c>
      <c r="C798" s="5" t="s">
        <v>15</v>
      </c>
      <c r="D798" s="5" t="s">
        <v>1660</v>
      </c>
      <c r="E798" s="5" t="s">
        <v>138</v>
      </c>
      <c r="F798" s="6">
        <v>41113.43472222222</v>
      </c>
      <c r="G798" s="7">
        <v>41325</v>
      </c>
      <c r="H798" s="7">
        <v>42786</v>
      </c>
      <c r="I798" s="5" t="s">
        <v>1661</v>
      </c>
      <c r="J798" s="5" t="str">
        <f>"Southern, Itezhi Tezhi"</f>
        <v>Southern, Itezhi Tezhi</v>
      </c>
    </row>
    <row r="799" spans="1:10" x14ac:dyDescent="0.2">
      <c r="A799" s="2" t="str">
        <f>"17791-HQ-SEL"</f>
        <v>17791-HQ-SEL</v>
      </c>
      <c r="B799" s="8" t="s">
        <v>1662</v>
      </c>
      <c r="C799" s="8" t="s">
        <v>34</v>
      </c>
      <c r="D799" s="8" t="s">
        <v>1663</v>
      </c>
      <c r="E799" s="8" t="s">
        <v>13</v>
      </c>
      <c r="F799" s="9">
        <v>41113.526388888888</v>
      </c>
      <c r="G799" s="10">
        <v>41337</v>
      </c>
      <c r="H799" s="10">
        <v>43162</v>
      </c>
      <c r="I799" s="8" t="s">
        <v>1664</v>
      </c>
      <c r="J799" s="8" t="str">
        <f>"North Western, Solwezi"</f>
        <v>North Western, Solwezi</v>
      </c>
    </row>
    <row r="800" spans="1:10" x14ac:dyDescent="0.2">
      <c r="A800" s="1" t="str">
        <f>"17792-HQ-SPP"</f>
        <v>17792-HQ-SPP</v>
      </c>
      <c r="B800" s="5" t="s">
        <v>1653</v>
      </c>
      <c r="C800" s="5" t="s">
        <v>1360</v>
      </c>
      <c r="D800" s="5" t="s">
        <v>1663</v>
      </c>
      <c r="E800" s="5" t="s">
        <v>138</v>
      </c>
      <c r="F800" s="6">
        <v>41113.527777777781</v>
      </c>
      <c r="G800" s="7">
        <v>41334</v>
      </c>
      <c r="H800" s="7">
        <v>43159</v>
      </c>
      <c r="I800" s="5" t="s">
        <v>1665</v>
      </c>
      <c r="J800" s="5" t="str">
        <f>"North Western, Solwezi"</f>
        <v>North Western, Solwezi</v>
      </c>
    </row>
    <row r="801" spans="1:10" x14ac:dyDescent="0.2">
      <c r="A801" s="2" t="str">
        <f>"17799-HQ-LPL"</f>
        <v>17799-HQ-LPL</v>
      </c>
      <c r="B801" s="8" t="s">
        <v>1666</v>
      </c>
      <c r="C801" s="8" t="s">
        <v>1297</v>
      </c>
      <c r="D801" s="8" t="s">
        <v>58</v>
      </c>
      <c r="E801" s="8" t="s">
        <v>13</v>
      </c>
      <c r="F801" s="9">
        <v>41114.384027777778</v>
      </c>
      <c r="G801" s="10">
        <v>41397</v>
      </c>
      <c r="H801" s="10">
        <v>42857</v>
      </c>
      <c r="I801" s="8" t="s">
        <v>1667</v>
      </c>
      <c r="J801" s="8" t="str">
        <f>"Copperbelt, Lufwanyama"</f>
        <v>Copperbelt, Lufwanyama</v>
      </c>
    </row>
    <row r="802" spans="1:10" x14ac:dyDescent="0.2">
      <c r="A802" s="1" t="str">
        <f>"17848-HQ-SEL"</f>
        <v>17848-HQ-SEL</v>
      </c>
      <c r="B802" s="5" t="s">
        <v>1668</v>
      </c>
      <c r="C802" s="5" t="s">
        <v>34</v>
      </c>
      <c r="D802" s="5" t="s">
        <v>156</v>
      </c>
      <c r="E802" s="5" t="s">
        <v>72</v>
      </c>
      <c r="F802" s="6">
        <v>41122.442361111112</v>
      </c>
      <c r="G802" s="7">
        <v>41388</v>
      </c>
      <c r="H802" s="7">
        <v>43213</v>
      </c>
      <c r="I802" s="5" t="s">
        <v>1669</v>
      </c>
      <c r="J802" s="5" t="str">
        <f>"Luapula, Samfya"</f>
        <v>Luapula, Samfya</v>
      </c>
    </row>
    <row r="803" spans="1:10" x14ac:dyDescent="0.2">
      <c r="A803" s="2" t="str">
        <f>"17863-HQ-SEL"</f>
        <v>17863-HQ-SEL</v>
      </c>
      <c r="B803" s="8" t="s">
        <v>1670</v>
      </c>
      <c r="C803" s="8" t="s">
        <v>34</v>
      </c>
      <c r="D803" s="8" t="s">
        <v>504</v>
      </c>
      <c r="E803" s="8" t="s">
        <v>13</v>
      </c>
      <c r="F803" s="9">
        <v>41124.397222222222</v>
      </c>
      <c r="G803" s="10">
        <v>41415</v>
      </c>
      <c r="H803" s="10">
        <v>43240</v>
      </c>
      <c r="I803" s="8" t="s">
        <v>1671</v>
      </c>
      <c r="J803" s="8" t="str">
        <f>"Lusaka, Kafue"</f>
        <v>Lusaka, Kafue</v>
      </c>
    </row>
    <row r="804" spans="1:10" x14ac:dyDescent="0.2">
      <c r="A804" s="1" t="str">
        <f>"17883-HQ-SEL"</f>
        <v>17883-HQ-SEL</v>
      </c>
      <c r="B804" s="5" t="s">
        <v>1672</v>
      </c>
      <c r="C804" s="5" t="s">
        <v>34</v>
      </c>
      <c r="D804" s="5" t="s">
        <v>1673</v>
      </c>
      <c r="E804" s="5" t="s">
        <v>72</v>
      </c>
      <c r="F804" s="6">
        <v>41129.467361111114</v>
      </c>
      <c r="G804" s="7">
        <v>41416</v>
      </c>
      <c r="H804" s="7">
        <v>43241</v>
      </c>
      <c r="I804" s="5" t="s">
        <v>1674</v>
      </c>
      <c r="J804" s="5" t="str">
        <f>"North Western, Mwinilunga, Solwezi"</f>
        <v>North Western, Mwinilunga, Solwezi</v>
      </c>
    </row>
    <row r="805" spans="1:10" x14ac:dyDescent="0.2">
      <c r="A805" s="2" t="str">
        <f>"17895-HQ-SEL"</f>
        <v>17895-HQ-SEL</v>
      </c>
      <c r="B805" s="8" t="s">
        <v>1633</v>
      </c>
      <c r="C805" s="8" t="s">
        <v>34</v>
      </c>
      <c r="D805" s="8" t="s">
        <v>1348</v>
      </c>
      <c r="E805" s="8" t="s">
        <v>13</v>
      </c>
      <c r="F805" s="9">
        <v>41134.527777777781</v>
      </c>
      <c r="G805" s="10">
        <v>41416</v>
      </c>
      <c r="H805" s="10">
        <v>43241</v>
      </c>
      <c r="I805" s="8" t="s">
        <v>1675</v>
      </c>
      <c r="J805" s="8" t="str">
        <f>"North Western, Solwezi"</f>
        <v>North Western, Solwezi</v>
      </c>
    </row>
    <row r="806" spans="1:10" x14ac:dyDescent="0.2">
      <c r="A806" s="1" t="str">
        <f>"17896-HQ-SEL"</f>
        <v>17896-HQ-SEL</v>
      </c>
      <c r="B806" s="5" t="s">
        <v>1633</v>
      </c>
      <c r="C806" s="5" t="s">
        <v>34</v>
      </c>
      <c r="D806" s="5" t="s">
        <v>1348</v>
      </c>
      <c r="E806" s="5" t="s">
        <v>13</v>
      </c>
      <c r="F806" s="6">
        <v>41134.529861111114</v>
      </c>
      <c r="G806" s="7">
        <v>41416</v>
      </c>
      <c r="H806" s="7">
        <v>43241</v>
      </c>
      <c r="I806" s="5" t="s">
        <v>1676</v>
      </c>
      <c r="J806" s="5" t="str">
        <f>"North Western, Solwezi"</f>
        <v>North Western, Solwezi</v>
      </c>
    </row>
    <row r="807" spans="1:10" ht="22.5" x14ac:dyDescent="0.2">
      <c r="A807" s="2" t="str">
        <f>"17931-HQ-SEL"</f>
        <v>17931-HQ-SEL</v>
      </c>
      <c r="B807" s="8" t="s">
        <v>1609</v>
      </c>
      <c r="C807" s="8" t="s">
        <v>34</v>
      </c>
      <c r="D807" s="8" t="s">
        <v>1673</v>
      </c>
      <c r="E807" s="8" t="s">
        <v>72</v>
      </c>
      <c r="F807" s="9">
        <v>41138.504166666666</v>
      </c>
      <c r="G807" s="10">
        <v>41416</v>
      </c>
      <c r="H807" s="10">
        <v>43241</v>
      </c>
      <c r="I807" s="8" t="s">
        <v>1677</v>
      </c>
      <c r="J807" s="8" t="str">
        <f>"Copperbelt, Chililabombwe, Chingola, Kalulushi, Kitwe, Mufulira"</f>
        <v>Copperbelt, Chililabombwe, Chingola, Kalulushi, Kitwe, Mufulira</v>
      </c>
    </row>
    <row r="808" spans="1:10" x14ac:dyDescent="0.2">
      <c r="A808" s="1" t="str">
        <f>"17936-HQ-LEL"</f>
        <v>17936-HQ-LEL</v>
      </c>
      <c r="B808" s="5" t="s">
        <v>1678</v>
      </c>
      <c r="C808" s="5" t="s">
        <v>15</v>
      </c>
      <c r="D808" s="5" t="s">
        <v>1679</v>
      </c>
      <c r="E808" s="5" t="s">
        <v>13</v>
      </c>
      <c r="F808" s="6">
        <v>41138.530555555553</v>
      </c>
      <c r="G808" s="7">
        <v>41802</v>
      </c>
      <c r="H808" s="7">
        <v>43263</v>
      </c>
      <c r="I808" s="5" t="s">
        <v>1680</v>
      </c>
      <c r="J808" s="5" t="str">
        <f>"Northern, Mpika"</f>
        <v>Northern, Mpika</v>
      </c>
    </row>
    <row r="809" spans="1:10" x14ac:dyDescent="0.2">
      <c r="A809" s="2" t="str">
        <f>"17944-HQ-SEL"</f>
        <v>17944-HQ-SEL</v>
      </c>
      <c r="B809" s="8" t="s">
        <v>1147</v>
      </c>
      <c r="C809" s="8" t="s">
        <v>34</v>
      </c>
      <c r="D809" s="8" t="s">
        <v>1681</v>
      </c>
      <c r="E809" s="8" t="s">
        <v>13</v>
      </c>
      <c r="F809" s="9">
        <v>41142.52847222222</v>
      </c>
      <c r="G809" s="10">
        <v>41450</v>
      </c>
      <c r="H809" s="10">
        <v>43275</v>
      </c>
      <c r="I809" s="8" t="s">
        <v>1682</v>
      </c>
      <c r="J809" s="8" t="str">
        <f>"Northern, Mpika"</f>
        <v>Northern, Mpika</v>
      </c>
    </row>
    <row r="810" spans="1:10" x14ac:dyDescent="0.2">
      <c r="A810" s="1" t="str">
        <f>"17951-HQ-SEL"</f>
        <v>17951-HQ-SEL</v>
      </c>
      <c r="B810" s="5" t="s">
        <v>1683</v>
      </c>
      <c r="C810" s="5" t="s">
        <v>34</v>
      </c>
      <c r="D810" s="5" t="s">
        <v>58</v>
      </c>
      <c r="E810" s="5" t="s">
        <v>72</v>
      </c>
      <c r="F810" s="6">
        <v>41143.520138888889</v>
      </c>
      <c r="G810" s="7">
        <v>41338</v>
      </c>
      <c r="H810" s="7">
        <v>43163</v>
      </c>
      <c r="I810" s="5" t="s">
        <v>1684</v>
      </c>
      <c r="J810" s="5" t="str">
        <f>"North Western, Mwinilunga"</f>
        <v>North Western, Mwinilunga</v>
      </c>
    </row>
    <row r="811" spans="1:10" x14ac:dyDescent="0.2">
      <c r="A811" s="2" t="str">
        <f>"17952-HQ-SEL"</f>
        <v>17952-HQ-SEL</v>
      </c>
      <c r="B811" s="8" t="s">
        <v>1683</v>
      </c>
      <c r="C811" s="8" t="s">
        <v>34</v>
      </c>
      <c r="D811" s="8"/>
      <c r="E811" s="8" t="s">
        <v>72</v>
      </c>
      <c r="F811" s="9">
        <v>41143.523611111108</v>
      </c>
      <c r="G811" s="10">
        <v>41338</v>
      </c>
      <c r="H811" s="10">
        <v>43163</v>
      </c>
      <c r="I811" s="8" t="s">
        <v>1685</v>
      </c>
      <c r="J811" s="8" t="str">
        <f>"North Western, Mwinilunga"</f>
        <v>North Western, Mwinilunga</v>
      </c>
    </row>
    <row r="812" spans="1:10" x14ac:dyDescent="0.2">
      <c r="A812" s="1" t="str">
        <f>" 17955-HQ-LEL"</f>
        <v xml:space="preserve"> 17955-HQ-LEL</v>
      </c>
      <c r="B812" s="5" t="s">
        <v>136</v>
      </c>
      <c r="C812" s="5" t="s">
        <v>15</v>
      </c>
      <c r="D812" s="5" t="s">
        <v>1686</v>
      </c>
      <c r="E812" s="5" t="s">
        <v>138</v>
      </c>
      <c r="F812" s="6">
        <v>41144.435416666667</v>
      </c>
      <c r="G812" s="7">
        <v>41302</v>
      </c>
      <c r="H812" s="7">
        <v>42762</v>
      </c>
      <c r="I812" s="5" t="s">
        <v>1687</v>
      </c>
      <c r="J812" s="5" t="str">
        <f>"Copperbelt, Lufwanyama"</f>
        <v>Copperbelt, Lufwanyama</v>
      </c>
    </row>
    <row r="813" spans="1:10" x14ac:dyDescent="0.2">
      <c r="A813" s="2" t="str">
        <f>"17964-HQ-SEL"</f>
        <v>17964-HQ-SEL</v>
      </c>
      <c r="B813" s="8" t="s">
        <v>1688</v>
      </c>
      <c r="C813" s="8" t="s">
        <v>34</v>
      </c>
      <c r="D813" s="8" t="s">
        <v>813</v>
      </c>
      <c r="E813" s="8" t="s">
        <v>13</v>
      </c>
      <c r="F813" s="9">
        <v>41149.513194444444</v>
      </c>
      <c r="G813" s="10">
        <v>41344</v>
      </c>
      <c r="H813" s="10">
        <v>43169</v>
      </c>
      <c r="I813" s="8" t="s">
        <v>1689</v>
      </c>
      <c r="J813" s="8" t="str">
        <f>"Central, Mumbwa"</f>
        <v>Central, Mumbwa</v>
      </c>
    </row>
    <row r="814" spans="1:10" x14ac:dyDescent="0.2">
      <c r="A814" s="1" t="str">
        <f>"17969-HQ-LEL"</f>
        <v>17969-HQ-LEL</v>
      </c>
      <c r="B814" s="5" t="s">
        <v>421</v>
      </c>
      <c r="C814" s="5" t="s">
        <v>15</v>
      </c>
      <c r="D814" s="5" t="s">
        <v>1616</v>
      </c>
      <c r="E814" s="5" t="s">
        <v>13</v>
      </c>
      <c r="F814" s="6">
        <v>41144.415277777778</v>
      </c>
      <c r="G814" s="7">
        <v>41869</v>
      </c>
      <c r="H814" s="7">
        <v>43329</v>
      </c>
      <c r="I814" s="5" t="s">
        <v>2292</v>
      </c>
      <c r="J814" s="5" t="str">
        <f>"North Western, Zambezi"</f>
        <v>North Western, Zambezi</v>
      </c>
    </row>
    <row r="815" spans="1:10" x14ac:dyDescent="0.2">
      <c r="A815" s="2" t="str">
        <f>"17971-HQ-LEL"</f>
        <v>17971-HQ-LEL</v>
      </c>
      <c r="B815" s="8" t="s">
        <v>421</v>
      </c>
      <c r="C815" s="8" t="s">
        <v>15</v>
      </c>
      <c r="D815" s="8" t="s">
        <v>1616</v>
      </c>
      <c r="E815" s="8" t="s">
        <v>138</v>
      </c>
      <c r="F815" s="9">
        <v>41148.531944444447</v>
      </c>
      <c r="G815" s="10">
        <v>41869</v>
      </c>
      <c r="H815" s="10">
        <v>43329</v>
      </c>
      <c r="I815" s="8" t="s">
        <v>1690</v>
      </c>
      <c r="J815" s="8" t="str">
        <f>"North Western, Zambezi"</f>
        <v>North Western, Zambezi</v>
      </c>
    </row>
    <row r="816" spans="1:10" x14ac:dyDescent="0.2">
      <c r="A816" s="1" t="str">
        <f>"17990-HQ-SEL"</f>
        <v>17990-HQ-SEL</v>
      </c>
      <c r="B816" s="5" t="s">
        <v>1691</v>
      </c>
      <c r="C816" s="5" t="s">
        <v>34</v>
      </c>
      <c r="D816" s="5" t="s">
        <v>1692</v>
      </c>
      <c r="E816" s="5" t="s">
        <v>55</v>
      </c>
      <c r="F816" s="6">
        <v>41151.496527777781</v>
      </c>
      <c r="G816" s="7">
        <v>41508</v>
      </c>
      <c r="H816" s="7">
        <v>43333</v>
      </c>
      <c r="I816" s="5" t="s">
        <v>1693</v>
      </c>
      <c r="J816" s="5" t="str">
        <f>"Southern, Kalomo"</f>
        <v>Southern, Kalomo</v>
      </c>
    </row>
    <row r="817" spans="1:10" x14ac:dyDescent="0.2">
      <c r="A817" s="2" t="str">
        <f>"18030-HQ- LPL"</f>
        <v>18030-HQ- LPL</v>
      </c>
      <c r="B817" s="8" t="s">
        <v>1694</v>
      </c>
      <c r="C817" s="8" t="s">
        <v>1297</v>
      </c>
      <c r="D817" s="8" t="s">
        <v>400</v>
      </c>
      <c r="E817" s="8" t="s">
        <v>13</v>
      </c>
      <c r="F817" s="9">
        <v>41162.538194444445</v>
      </c>
      <c r="G817" s="10">
        <v>41324</v>
      </c>
      <c r="H817" s="10">
        <v>42784</v>
      </c>
      <c r="I817" s="8" t="s">
        <v>1695</v>
      </c>
      <c r="J817" s="8" t="str">
        <f>"Eastern, Chipata, Mambwe"</f>
        <v>Eastern, Chipata, Mambwe</v>
      </c>
    </row>
    <row r="818" spans="1:10" x14ac:dyDescent="0.2">
      <c r="A818" s="1" t="str">
        <f>"18046-HQ-SEL"</f>
        <v>18046-HQ-SEL</v>
      </c>
      <c r="B818" s="5" t="s">
        <v>1696</v>
      </c>
      <c r="C818" s="5" t="s">
        <v>34</v>
      </c>
      <c r="D818" s="5"/>
      <c r="E818" s="5" t="s">
        <v>13</v>
      </c>
      <c r="F818" s="6">
        <v>41163.493055555555</v>
      </c>
      <c r="G818" s="7">
        <v>41414</v>
      </c>
      <c r="H818" s="7">
        <v>43239</v>
      </c>
      <c r="I818" s="5" t="s">
        <v>1697</v>
      </c>
      <c r="J818" s="5" t="str">
        <f>"Copperbelt, Kalulushi"</f>
        <v>Copperbelt, Kalulushi</v>
      </c>
    </row>
    <row r="819" spans="1:10" x14ac:dyDescent="0.2">
      <c r="A819" s="2" t="str">
        <f>"18047-HQ-SEL"</f>
        <v>18047-HQ-SEL</v>
      </c>
      <c r="B819" s="8" t="s">
        <v>1698</v>
      </c>
      <c r="C819" s="8" t="s">
        <v>34</v>
      </c>
      <c r="D819" s="8"/>
      <c r="E819" s="8" t="s">
        <v>13</v>
      </c>
      <c r="F819" s="9">
        <v>41163.503472222219</v>
      </c>
      <c r="G819" s="10">
        <v>41431</v>
      </c>
      <c r="H819" s="10">
        <v>43256</v>
      </c>
      <c r="I819" s="8" t="s">
        <v>1699</v>
      </c>
      <c r="J819" s="8" t="str">
        <f>"Central, Mkushi"</f>
        <v>Central, Mkushi</v>
      </c>
    </row>
    <row r="820" spans="1:10" x14ac:dyDescent="0.2">
      <c r="A820" s="1" t="str">
        <f>"18052-HQ-SEL"</f>
        <v>18052-HQ-SEL</v>
      </c>
      <c r="B820" s="5" t="s">
        <v>1596</v>
      </c>
      <c r="C820" s="5" t="s">
        <v>34</v>
      </c>
      <c r="D820" s="5" t="s">
        <v>1700</v>
      </c>
      <c r="E820" s="5" t="s">
        <v>13</v>
      </c>
      <c r="F820" s="6">
        <v>41163.402777777781</v>
      </c>
      <c r="G820" s="7">
        <v>41408</v>
      </c>
      <c r="H820" s="7">
        <v>43233</v>
      </c>
      <c r="I820" s="5" t="s">
        <v>1701</v>
      </c>
      <c r="J820" s="5" t="str">
        <f>"North Western, Mwinilunga"</f>
        <v>North Western, Mwinilunga</v>
      </c>
    </row>
    <row r="821" spans="1:10" x14ac:dyDescent="0.2">
      <c r="A821" s="2" t="str">
        <f>"18096-HQ-SEL"</f>
        <v>18096-HQ-SEL</v>
      </c>
      <c r="B821" s="8" t="s">
        <v>1702</v>
      </c>
      <c r="C821" s="8" t="s">
        <v>34</v>
      </c>
      <c r="D821" s="8" t="s">
        <v>1703</v>
      </c>
      <c r="E821" s="8" t="s">
        <v>13</v>
      </c>
      <c r="F821" s="9">
        <v>41172.426388888889</v>
      </c>
      <c r="G821" s="10">
        <v>41578</v>
      </c>
      <c r="H821" s="10">
        <v>43403</v>
      </c>
      <c r="I821" s="8" t="s">
        <v>1704</v>
      </c>
      <c r="J821" s="8" t="str">
        <f>"Northern, Mporokoso"</f>
        <v>Northern, Mporokoso</v>
      </c>
    </row>
    <row r="822" spans="1:10" x14ac:dyDescent="0.2">
      <c r="A822" s="1" t="str">
        <f>"18106-HQ-LPL"</f>
        <v>18106-HQ-LPL</v>
      </c>
      <c r="B822" s="5" t="s">
        <v>1705</v>
      </c>
      <c r="C822" s="5" t="s">
        <v>1297</v>
      </c>
      <c r="D822" s="5" t="s">
        <v>589</v>
      </c>
      <c r="E822" s="5" t="s">
        <v>72</v>
      </c>
      <c r="F822" s="6">
        <v>41173.517361111109</v>
      </c>
      <c r="G822" s="7">
        <v>41338</v>
      </c>
      <c r="H822" s="7">
        <v>42798</v>
      </c>
      <c r="I822" s="5" t="s">
        <v>1706</v>
      </c>
      <c r="J822" s="5" t="str">
        <f>"Luapula, Mansa"</f>
        <v>Luapula, Mansa</v>
      </c>
    </row>
    <row r="823" spans="1:10" x14ac:dyDescent="0.2">
      <c r="A823" s="2" t="str">
        <f>"18118-HQ-SEL"</f>
        <v>18118-HQ-SEL</v>
      </c>
      <c r="B823" s="8" t="s">
        <v>1707</v>
      </c>
      <c r="C823" s="8" t="s">
        <v>34</v>
      </c>
      <c r="D823" s="8" t="s">
        <v>589</v>
      </c>
      <c r="E823" s="8" t="s">
        <v>13</v>
      </c>
      <c r="F823" s="9">
        <v>41179.503472222219</v>
      </c>
      <c r="G823" s="10">
        <v>41386</v>
      </c>
      <c r="H823" s="10">
        <v>43211</v>
      </c>
      <c r="I823" s="8" t="s">
        <v>1708</v>
      </c>
      <c r="J823" s="8" t="str">
        <f>"Luapula, Mansa"</f>
        <v>Luapula, Mansa</v>
      </c>
    </row>
    <row r="824" spans="1:10" x14ac:dyDescent="0.2">
      <c r="A824" s="1" t="str">
        <f>"18139-HQ-SEL"</f>
        <v>18139-HQ-SEL</v>
      </c>
      <c r="B824" s="5" t="s">
        <v>1709</v>
      </c>
      <c r="C824" s="5" t="s">
        <v>34</v>
      </c>
      <c r="D824" s="5" t="s">
        <v>1710</v>
      </c>
      <c r="E824" s="5" t="s">
        <v>72</v>
      </c>
      <c r="F824" s="6">
        <v>41184.381944444445</v>
      </c>
      <c r="G824" s="7">
        <v>41298</v>
      </c>
      <c r="H824" s="7">
        <v>43123</v>
      </c>
      <c r="I824" s="5" t="s">
        <v>1711</v>
      </c>
      <c r="J824" s="5" t="str">
        <f>"North Western, Solwezi"</f>
        <v>North Western, Solwezi</v>
      </c>
    </row>
    <row r="825" spans="1:10" x14ac:dyDescent="0.2">
      <c r="A825" s="2" t="str">
        <f>"18140-HQ-SEL"</f>
        <v>18140-HQ-SEL</v>
      </c>
      <c r="B825" s="8" t="s">
        <v>1709</v>
      </c>
      <c r="C825" s="8" t="s">
        <v>34</v>
      </c>
      <c r="D825" s="8" t="s">
        <v>1600</v>
      </c>
      <c r="E825" s="8" t="s">
        <v>13</v>
      </c>
      <c r="F825" s="9">
        <v>41184.380555555559</v>
      </c>
      <c r="G825" s="10">
        <v>41337</v>
      </c>
      <c r="H825" s="10">
        <v>43162</v>
      </c>
      <c r="I825" s="8" t="s">
        <v>1712</v>
      </c>
      <c r="J825" s="8" t="str">
        <f>"North Western, Solwezi"</f>
        <v>North Western, Solwezi</v>
      </c>
    </row>
    <row r="826" spans="1:10" x14ac:dyDescent="0.2">
      <c r="A826" s="1" t="str">
        <f>"18181-HQ-AMR"</f>
        <v>18181-HQ-AMR</v>
      </c>
      <c r="B826" s="5" t="s">
        <v>39</v>
      </c>
      <c r="C826" s="5" t="s">
        <v>19</v>
      </c>
      <c r="D826" s="5" t="s">
        <v>40</v>
      </c>
      <c r="E826" s="5" t="s">
        <v>13</v>
      </c>
      <c r="F826" s="6">
        <v>41192.527083333334</v>
      </c>
      <c r="G826" s="7">
        <v>42500</v>
      </c>
      <c r="H826" s="7">
        <v>43229</v>
      </c>
      <c r="I826" s="5" t="s">
        <v>41</v>
      </c>
      <c r="J826" s="5" t="str">
        <f>"Southern, Mazabuka"</f>
        <v>Southern, Mazabuka</v>
      </c>
    </row>
    <row r="827" spans="1:10" ht="22.5" x14ac:dyDescent="0.2">
      <c r="A827" s="2" t="str">
        <f>"18197-HQ-SEL"</f>
        <v>18197-HQ-SEL</v>
      </c>
      <c r="B827" s="8" t="s">
        <v>1609</v>
      </c>
      <c r="C827" s="8" t="s">
        <v>34</v>
      </c>
      <c r="D827" s="8" t="s">
        <v>1713</v>
      </c>
      <c r="E827" s="8" t="s">
        <v>72</v>
      </c>
      <c r="F827" s="9">
        <v>41198.40347222222</v>
      </c>
      <c r="G827" s="10">
        <v>41416</v>
      </c>
      <c r="H827" s="10">
        <v>43241</v>
      </c>
      <c r="I827" s="8" t="s">
        <v>1714</v>
      </c>
      <c r="J827" s="8" t="str">
        <f>"Central, Kapiri Mposhi"</f>
        <v>Central, Kapiri Mposhi</v>
      </c>
    </row>
    <row r="828" spans="1:10" x14ac:dyDescent="0.2">
      <c r="A828" s="1" t="str">
        <f>"18203-HQ-SEL"</f>
        <v>18203-HQ-SEL</v>
      </c>
      <c r="B828" s="5" t="s">
        <v>1715</v>
      </c>
      <c r="C828" s="5" t="s">
        <v>34</v>
      </c>
      <c r="D828" s="5" t="s">
        <v>1572</v>
      </c>
      <c r="E828" s="5" t="s">
        <v>13</v>
      </c>
      <c r="F828" s="6">
        <v>41199.375</v>
      </c>
      <c r="G828" s="7">
        <v>41409</v>
      </c>
      <c r="H828" s="7">
        <v>43234</v>
      </c>
      <c r="I828" s="5" t="s">
        <v>1716</v>
      </c>
      <c r="J828" s="5" t="str">
        <f>"Southern, Kazungula"</f>
        <v>Southern, Kazungula</v>
      </c>
    </row>
    <row r="829" spans="1:10" x14ac:dyDescent="0.2">
      <c r="A829" s="2" t="str">
        <f>"18216-HQ-SEL"</f>
        <v>18216-HQ-SEL</v>
      </c>
      <c r="B829" s="8" t="s">
        <v>1717</v>
      </c>
      <c r="C829" s="8" t="s">
        <v>34</v>
      </c>
      <c r="D829" s="8" t="s">
        <v>1413</v>
      </c>
      <c r="E829" s="8" t="s">
        <v>13</v>
      </c>
      <c r="F829" s="9">
        <v>41201.498611111114</v>
      </c>
      <c r="G829" s="10">
        <v>41414</v>
      </c>
      <c r="H829" s="10">
        <v>43239</v>
      </c>
      <c r="I829" s="8" t="s">
        <v>1718</v>
      </c>
      <c r="J829" s="8" t="str">
        <f>"Central, Mkushi"</f>
        <v>Central, Mkushi</v>
      </c>
    </row>
    <row r="830" spans="1:10" x14ac:dyDescent="0.2">
      <c r="A830" s="1" t="str">
        <f>"18236-HQ-SEL"</f>
        <v>18236-HQ-SEL</v>
      </c>
      <c r="B830" s="5" t="s">
        <v>1719</v>
      </c>
      <c r="C830" s="5" t="s">
        <v>34</v>
      </c>
      <c r="D830" s="5" t="s">
        <v>156</v>
      </c>
      <c r="E830" s="5" t="s">
        <v>13</v>
      </c>
      <c r="F830" s="6">
        <v>41208.395138888889</v>
      </c>
      <c r="G830" s="7">
        <v>41505</v>
      </c>
      <c r="H830" s="7">
        <v>43330</v>
      </c>
      <c r="I830" s="5" t="s">
        <v>1720</v>
      </c>
      <c r="J830" s="5" t="str">
        <f>"Northern, Luwingu"</f>
        <v>Northern, Luwingu</v>
      </c>
    </row>
    <row r="831" spans="1:10" x14ac:dyDescent="0.2">
      <c r="A831" s="2" t="str">
        <f>"18241-HQ-SEL"</f>
        <v>18241-HQ-SEL</v>
      </c>
      <c r="B831" s="8" t="s">
        <v>1721</v>
      </c>
      <c r="C831" s="8" t="s">
        <v>34</v>
      </c>
      <c r="D831" s="8" t="s">
        <v>40</v>
      </c>
      <c r="E831" s="8" t="s">
        <v>13</v>
      </c>
      <c r="F831" s="9">
        <v>41208.438923611109</v>
      </c>
      <c r="G831" s="10">
        <v>41486</v>
      </c>
      <c r="H831" s="10">
        <v>43311</v>
      </c>
      <c r="I831" s="8" t="s">
        <v>1722</v>
      </c>
      <c r="J831" s="8" t="str">
        <f>"Copperbelt, Mufulira"</f>
        <v>Copperbelt, Mufulira</v>
      </c>
    </row>
    <row r="832" spans="1:10" x14ac:dyDescent="0.2">
      <c r="A832" s="1" t="str">
        <f>"18270-HQ-LPL"</f>
        <v>18270-HQ-LPL</v>
      </c>
      <c r="B832" s="5" t="s">
        <v>1723</v>
      </c>
      <c r="C832" s="5" t="s">
        <v>1297</v>
      </c>
      <c r="D832" s="5" t="s">
        <v>1724</v>
      </c>
      <c r="E832" s="5" t="s">
        <v>72</v>
      </c>
      <c r="F832" s="6">
        <v>41215.474305555559</v>
      </c>
      <c r="G832" s="7">
        <v>41435</v>
      </c>
      <c r="H832" s="7">
        <v>42895</v>
      </c>
      <c r="I832" s="5" t="s">
        <v>1725</v>
      </c>
      <c r="J832" s="5" t="str">
        <f>"Central, Mumbwa"</f>
        <v>Central, Mumbwa</v>
      </c>
    </row>
    <row r="833" spans="1:10" x14ac:dyDescent="0.2">
      <c r="A833" s="2" t="str">
        <f>"18287-HQ-SEL"</f>
        <v>18287-HQ-SEL</v>
      </c>
      <c r="B833" s="8" t="s">
        <v>1596</v>
      </c>
      <c r="C833" s="8" t="s">
        <v>34</v>
      </c>
      <c r="D833" s="8" t="s">
        <v>1597</v>
      </c>
      <c r="E833" s="8" t="s">
        <v>13</v>
      </c>
      <c r="F833" s="9">
        <v>41219.390277777777</v>
      </c>
      <c r="G833" s="10">
        <v>41404</v>
      </c>
      <c r="H833" s="10">
        <v>43229</v>
      </c>
      <c r="I833" s="8" t="s">
        <v>1726</v>
      </c>
      <c r="J833" s="8" t="str">
        <f>"Central, Kapiri Mposhi"</f>
        <v>Central, Kapiri Mposhi</v>
      </c>
    </row>
    <row r="834" spans="1:10" x14ac:dyDescent="0.2">
      <c r="A834" s="1" t="str">
        <f>"18301-HQ-AMR"</f>
        <v>18301-HQ-AMR</v>
      </c>
      <c r="B834" s="5" t="s">
        <v>1727</v>
      </c>
      <c r="C834" s="5" t="s">
        <v>19</v>
      </c>
      <c r="D834" s="5" t="s">
        <v>45</v>
      </c>
      <c r="E834" s="5" t="s">
        <v>72</v>
      </c>
      <c r="F834" s="6">
        <v>41221.504861111112</v>
      </c>
      <c r="G834" s="7">
        <v>41485</v>
      </c>
      <c r="H834" s="7">
        <v>42945</v>
      </c>
      <c r="I834" s="5" t="s">
        <v>1728</v>
      </c>
      <c r="J834" s="5" t="str">
        <f>"Copperbelt, Ndola"</f>
        <v>Copperbelt, Ndola</v>
      </c>
    </row>
    <row r="835" spans="1:10" x14ac:dyDescent="0.2">
      <c r="A835" s="2" t="str">
        <f>"18309-HQ-SEL"</f>
        <v>18309-HQ-SEL</v>
      </c>
      <c r="B835" s="8" t="s">
        <v>1729</v>
      </c>
      <c r="C835" s="8" t="s">
        <v>34</v>
      </c>
      <c r="D835" s="8" t="s">
        <v>541</v>
      </c>
      <c r="E835" s="8" t="s">
        <v>13</v>
      </c>
      <c r="F835" s="9">
        <v>41225.51666666667</v>
      </c>
      <c r="G835" s="10">
        <v>41325</v>
      </c>
      <c r="H835" s="10">
        <v>43150</v>
      </c>
      <c r="I835" s="8" t="s">
        <v>1730</v>
      </c>
      <c r="J835" s="8" t="str">
        <f>"Lusaka, Kafue"</f>
        <v>Lusaka, Kafue</v>
      </c>
    </row>
    <row r="836" spans="1:10" x14ac:dyDescent="0.2">
      <c r="A836" s="1" t="str">
        <f>"18316-HQ-SEL"</f>
        <v>18316-HQ-SEL</v>
      </c>
      <c r="B836" s="5" t="s">
        <v>1731</v>
      </c>
      <c r="C836" s="5" t="s">
        <v>34</v>
      </c>
      <c r="D836" s="5" t="s">
        <v>28</v>
      </c>
      <c r="E836" s="5" t="s">
        <v>13</v>
      </c>
      <c r="F836" s="6">
        <v>41228.399305555555</v>
      </c>
      <c r="G836" s="7">
        <v>41451</v>
      </c>
      <c r="H836" s="7">
        <v>43276</v>
      </c>
      <c r="I836" s="5" t="s">
        <v>1732</v>
      </c>
      <c r="J836" s="5" t="str">
        <f>"Copperbelt, Luanshya"</f>
        <v>Copperbelt, Luanshya</v>
      </c>
    </row>
    <row r="837" spans="1:10" x14ac:dyDescent="0.2">
      <c r="A837" s="2" t="str">
        <f>" 18323-HQ-LEL"</f>
        <v xml:space="preserve"> 18323-HQ-LEL</v>
      </c>
      <c r="B837" s="8" t="s">
        <v>1350</v>
      </c>
      <c r="C837" s="8" t="s">
        <v>15</v>
      </c>
      <c r="D837" s="8" t="s">
        <v>1733</v>
      </c>
      <c r="E837" s="8" t="s">
        <v>13</v>
      </c>
      <c r="F837" s="9">
        <v>41229.375</v>
      </c>
      <c r="G837" s="10">
        <v>41396</v>
      </c>
      <c r="H837" s="10">
        <v>42857</v>
      </c>
      <c r="I837" s="8" t="s">
        <v>1734</v>
      </c>
      <c r="J837" s="8" t="str">
        <f>"North Western, Solwezi"</f>
        <v>North Western, Solwezi</v>
      </c>
    </row>
    <row r="838" spans="1:10" x14ac:dyDescent="0.2">
      <c r="A838" s="1" t="str">
        <f>"18344-HQ-SEL"</f>
        <v>18344-HQ-SEL</v>
      </c>
      <c r="B838" s="5" t="s">
        <v>1423</v>
      </c>
      <c r="C838" s="5" t="s">
        <v>34</v>
      </c>
      <c r="D838" s="5" t="s">
        <v>45</v>
      </c>
      <c r="E838" s="5" t="s">
        <v>13</v>
      </c>
      <c r="F838" s="6">
        <v>41234.392361111109</v>
      </c>
      <c r="G838" s="7">
        <v>41414</v>
      </c>
      <c r="H838" s="7">
        <v>43239</v>
      </c>
      <c r="I838" s="5" t="s">
        <v>1735</v>
      </c>
      <c r="J838" s="5" t="str">
        <f>"Eastern, Katete"</f>
        <v>Eastern, Katete</v>
      </c>
    </row>
    <row r="839" spans="1:10" ht="22.5" x14ac:dyDescent="0.2">
      <c r="A839" s="2" t="str">
        <f>"18361-HQ-SPP"</f>
        <v>18361-HQ-SPP</v>
      </c>
      <c r="B839" s="8" t="s">
        <v>1736</v>
      </c>
      <c r="C839" s="8" t="s">
        <v>1360</v>
      </c>
      <c r="D839" s="8" t="s">
        <v>1737</v>
      </c>
      <c r="E839" s="8" t="s">
        <v>72</v>
      </c>
      <c r="F839" s="9">
        <v>41236.511111111111</v>
      </c>
      <c r="G839" s="10">
        <v>41394</v>
      </c>
      <c r="H839" s="10">
        <v>43219</v>
      </c>
      <c r="I839" s="8" t="s">
        <v>1738</v>
      </c>
      <c r="J839" s="8" t="str">
        <f>"North Western, Mufumbwe"</f>
        <v>North Western, Mufumbwe</v>
      </c>
    </row>
    <row r="840" spans="1:10" x14ac:dyDescent="0.2">
      <c r="A840" s="1" t="str">
        <f>"18379-HQ-SEL"</f>
        <v>18379-HQ-SEL</v>
      </c>
      <c r="B840" s="5" t="s">
        <v>1739</v>
      </c>
      <c r="C840" s="5" t="s">
        <v>34</v>
      </c>
      <c r="D840" s="5" t="s">
        <v>156</v>
      </c>
      <c r="E840" s="5" t="s">
        <v>72</v>
      </c>
      <c r="F840" s="6">
        <v>41242.452777777777</v>
      </c>
      <c r="G840" s="7">
        <v>41416</v>
      </c>
      <c r="H840" s="7">
        <v>43241</v>
      </c>
      <c r="I840" s="5" t="s">
        <v>1740</v>
      </c>
      <c r="J840" s="5" t="str">
        <f>"Central, Serenje"</f>
        <v>Central, Serenje</v>
      </c>
    </row>
    <row r="841" spans="1:10" x14ac:dyDescent="0.2">
      <c r="A841" s="2" t="str">
        <f>"18380-HQ-SEL"</f>
        <v>18380-HQ-SEL</v>
      </c>
      <c r="B841" s="8" t="s">
        <v>1741</v>
      </c>
      <c r="C841" s="8" t="s">
        <v>34</v>
      </c>
      <c r="D841" s="8" t="s">
        <v>51</v>
      </c>
      <c r="E841" s="8" t="s">
        <v>13</v>
      </c>
      <c r="F841" s="9">
        <v>41242.459722222222</v>
      </c>
      <c r="G841" s="10">
        <v>41502</v>
      </c>
      <c r="H841" s="10">
        <v>43327</v>
      </c>
      <c r="I841" s="8" t="s">
        <v>1742</v>
      </c>
      <c r="J841" s="8" t="str">
        <f>""</f>
        <v/>
      </c>
    </row>
    <row r="842" spans="1:10" x14ac:dyDescent="0.2">
      <c r="A842" s="1" t="str">
        <f>"18406-HQ-SEL"</f>
        <v>18406-HQ-SEL</v>
      </c>
      <c r="B842" s="5" t="s">
        <v>1743</v>
      </c>
      <c r="C842" s="5" t="s">
        <v>34</v>
      </c>
      <c r="D842" s="5" t="s">
        <v>40</v>
      </c>
      <c r="E842" s="5" t="s">
        <v>13</v>
      </c>
      <c r="F842" s="6">
        <v>41248.46875</v>
      </c>
      <c r="G842" s="7">
        <v>41439</v>
      </c>
      <c r="H842" s="7">
        <v>43264</v>
      </c>
      <c r="I842" s="5" t="s">
        <v>1744</v>
      </c>
      <c r="J842" s="5" t="str">
        <f>"Copperbelt, Luanshya, Ndola"</f>
        <v>Copperbelt, Luanshya, Ndola</v>
      </c>
    </row>
    <row r="843" spans="1:10" x14ac:dyDescent="0.2">
      <c r="A843" s="2" t="str">
        <f>"18421-HQ-SEL"</f>
        <v>18421-HQ-SEL</v>
      </c>
      <c r="B843" s="8" t="s">
        <v>1745</v>
      </c>
      <c r="C843" s="8" t="s">
        <v>34</v>
      </c>
      <c r="D843" s="8" t="s">
        <v>1097</v>
      </c>
      <c r="E843" s="8" t="s">
        <v>13</v>
      </c>
      <c r="F843" s="9">
        <v>41249.472916666666</v>
      </c>
      <c r="G843" s="10">
        <v>41466</v>
      </c>
      <c r="H843" s="10">
        <v>43291</v>
      </c>
      <c r="I843" s="8" t="s">
        <v>1746</v>
      </c>
      <c r="J843" s="8" t="str">
        <f>"North Western, Mufumbwe; Western, Kaoma"</f>
        <v>North Western, Mufumbwe; Western, Kaoma</v>
      </c>
    </row>
    <row r="844" spans="1:10" x14ac:dyDescent="0.2">
      <c r="A844" s="1" t="str">
        <f>"18437-HQ-SEL"</f>
        <v>18437-HQ-SEL</v>
      </c>
      <c r="B844" s="5" t="s">
        <v>1747</v>
      </c>
      <c r="C844" s="5" t="s">
        <v>34</v>
      </c>
      <c r="D844" s="5" t="s">
        <v>1413</v>
      </c>
      <c r="E844" s="5" t="s">
        <v>13</v>
      </c>
      <c r="F844" s="6">
        <v>41250.497916666667</v>
      </c>
      <c r="G844" s="7">
        <v>41486</v>
      </c>
      <c r="H844" s="7">
        <v>43311</v>
      </c>
      <c r="I844" s="5" t="s">
        <v>1748</v>
      </c>
      <c r="J844" s="5" t="str">
        <f>"Northern, Mpika"</f>
        <v>Northern, Mpika</v>
      </c>
    </row>
    <row r="845" spans="1:10" x14ac:dyDescent="0.2">
      <c r="A845" s="2" t="str">
        <f>"18438-HQ-SEL"</f>
        <v>18438-HQ-SEL</v>
      </c>
      <c r="B845" s="8" t="s">
        <v>1747</v>
      </c>
      <c r="C845" s="8" t="s">
        <v>34</v>
      </c>
      <c r="D845" s="8" t="s">
        <v>1413</v>
      </c>
      <c r="E845" s="8" t="s">
        <v>72</v>
      </c>
      <c r="F845" s="9">
        <v>41250.499305555553</v>
      </c>
      <c r="G845" s="10">
        <v>41407</v>
      </c>
      <c r="H845" s="10">
        <v>43232</v>
      </c>
      <c r="I845" s="8" t="s">
        <v>1749</v>
      </c>
      <c r="J845" s="8" t="str">
        <f>"Northern, Mpika"</f>
        <v>Northern, Mpika</v>
      </c>
    </row>
    <row r="846" spans="1:10" ht="22.5" x14ac:dyDescent="0.2">
      <c r="A846" s="1" t="str">
        <f>"18462-HQ-SEL"</f>
        <v>18462-HQ-SEL</v>
      </c>
      <c r="B846" s="5" t="s">
        <v>1609</v>
      </c>
      <c r="C846" s="5" t="s">
        <v>34</v>
      </c>
      <c r="D846" s="5" t="s">
        <v>1750</v>
      </c>
      <c r="E846" s="5" t="s">
        <v>72</v>
      </c>
      <c r="F846" s="6">
        <v>41255.536805555559</v>
      </c>
      <c r="G846" s="7">
        <v>41312</v>
      </c>
      <c r="H846" s="7">
        <v>43137</v>
      </c>
      <c r="I846" s="5" t="s">
        <v>1735</v>
      </c>
      <c r="J846" s="5" t="str">
        <f>"Eastern, Katete"</f>
        <v>Eastern, Katete</v>
      </c>
    </row>
    <row r="847" spans="1:10" x14ac:dyDescent="0.2">
      <c r="A847" s="2" t="str">
        <f>"18468-HQ-SPP"</f>
        <v>18468-HQ-SPP</v>
      </c>
      <c r="B847" s="8" t="s">
        <v>1751</v>
      </c>
      <c r="C847" s="8" t="s">
        <v>1360</v>
      </c>
      <c r="D847" s="8" t="s">
        <v>51</v>
      </c>
      <c r="E847" s="8" t="s">
        <v>72</v>
      </c>
      <c r="F847" s="9">
        <v>41255.541666666664</v>
      </c>
      <c r="G847" s="10">
        <v>41576</v>
      </c>
      <c r="H847" s="10">
        <v>43401</v>
      </c>
      <c r="I847" s="8" t="s">
        <v>1752</v>
      </c>
      <c r="J847" s="8" t="str">
        <f>"North Western, Mufumbwe"</f>
        <v>North Western, Mufumbwe</v>
      </c>
    </row>
    <row r="848" spans="1:10" x14ac:dyDescent="0.2">
      <c r="A848" s="1" t="str">
        <f>"18490-HQ-SEL"</f>
        <v>18490-HQ-SEL</v>
      </c>
      <c r="B848" s="5" t="s">
        <v>1753</v>
      </c>
      <c r="C848" s="5" t="s">
        <v>34</v>
      </c>
      <c r="D848" s="5" t="s">
        <v>1754</v>
      </c>
      <c r="E848" s="5" t="s">
        <v>72</v>
      </c>
      <c r="F848" s="6">
        <v>41263.53402777778</v>
      </c>
      <c r="G848" s="7">
        <v>41410</v>
      </c>
      <c r="H848" s="7">
        <v>43235</v>
      </c>
      <c r="I848" s="5" t="s">
        <v>1755</v>
      </c>
      <c r="J848" s="5" t="str">
        <f>"Central, Chibombo"</f>
        <v>Central, Chibombo</v>
      </c>
    </row>
    <row r="849" spans="1:10" x14ac:dyDescent="0.2">
      <c r="A849" s="2" t="str">
        <f>"18491-HQ-SEL"</f>
        <v>18491-HQ-SEL</v>
      </c>
      <c r="B849" s="8" t="s">
        <v>1753</v>
      </c>
      <c r="C849" s="8" t="s">
        <v>34</v>
      </c>
      <c r="D849" s="8" t="s">
        <v>1754</v>
      </c>
      <c r="E849" s="8" t="s">
        <v>72</v>
      </c>
      <c r="F849" s="9">
        <v>41263.535416666666</v>
      </c>
      <c r="G849" s="10">
        <v>41410</v>
      </c>
      <c r="H849" s="10">
        <v>43235</v>
      </c>
      <c r="I849" s="8" t="s">
        <v>1756</v>
      </c>
      <c r="J849" s="8" t="str">
        <f>"Central, Chibombo"</f>
        <v>Central, Chibombo</v>
      </c>
    </row>
    <row r="850" spans="1:10" x14ac:dyDescent="0.2">
      <c r="A850" s="1" t="str">
        <f>"18494-HQ-SEL"</f>
        <v>18494-HQ-SEL</v>
      </c>
      <c r="B850" s="5" t="s">
        <v>1747</v>
      </c>
      <c r="C850" s="5" t="s">
        <v>34</v>
      </c>
      <c r="D850" s="5" t="s">
        <v>1413</v>
      </c>
      <c r="E850" s="5" t="s">
        <v>13</v>
      </c>
      <c r="F850" s="6">
        <v>41264.507638888892</v>
      </c>
      <c r="G850" s="7">
        <v>41429</v>
      </c>
      <c r="H850" s="7">
        <v>43254</v>
      </c>
      <c r="I850" s="5" t="s">
        <v>1757</v>
      </c>
      <c r="J850" s="5" t="str">
        <f>"Central, Serenje; Northern, Mpika"</f>
        <v>Central, Serenje; Northern, Mpika</v>
      </c>
    </row>
    <row r="851" spans="1:10" x14ac:dyDescent="0.2">
      <c r="A851" s="2" t="str">
        <f>"18495-HQ-SEL"</f>
        <v>18495-HQ-SEL</v>
      </c>
      <c r="B851" s="8" t="s">
        <v>1747</v>
      </c>
      <c r="C851" s="8" t="s">
        <v>34</v>
      </c>
      <c r="D851" s="8" t="s">
        <v>1413</v>
      </c>
      <c r="E851" s="8" t="s">
        <v>13</v>
      </c>
      <c r="F851" s="9">
        <v>41264.502083333333</v>
      </c>
      <c r="G851" s="10">
        <v>41429</v>
      </c>
      <c r="H851" s="10">
        <v>43254</v>
      </c>
      <c r="I851" s="8" t="s">
        <v>1758</v>
      </c>
      <c r="J851" s="8" t="str">
        <f>"Northern, Mpika"</f>
        <v>Northern, Mpika</v>
      </c>
    </row>
    <row r="852" spans="1:10" x14ac:dyDescent="0.2">
      <c r="A852" s="1" t="str">
        <f>"18496-HQ-SEL"</f>
        <v>18496-HQ-SEL</v>
      </c>
      <c r="B852" s="5" t="s">
        <v>1747</v>
      </c>
      <c r="C852" s="5" t="s">
        <v>34</v>
      </c>
      <c r="D852" s="5" t="s">
        <v>1413</v>
      </c>
      <c r="E852" s="5" t="s">
        <v>13</v>
      </c>
      <c r="F852" s="6">
        <v>41264.504166666666</v>
      </c>
      <c r="G852" s="7">
        <v>41486</v>
      </c>
      <c r="H852" s="7">
        <v>43311</v>
      </c>
      <c r="I852" s="5" t="s">
        <v>1759</v>
      </c>
      <c r="J852" s="5" t="str">
        <f>"Northern, Mpika"</f>
        <v>Northern, Mpika</v>
      </c>
    </row>
    <row r="853" spans="1:10" x14ac:dyDescent="0.2">
      <c r="A853" s="2" t="str">
        <f>"18501-HQ-LEL"</f>
        <v>18501-HQ-LEL</v>
      </c>
      <c r="B853" s="8" t="s">
        <v>1659</v>
      </c>
      <c r="C853" s="8" t="s">
        <v>15</v>
      </c>
      <c r="D853" s="8" t="s">
        <v>1760</v>
      </c>
      <c r="E853" s="8" t="s">
        <v>72</v>
      </c>
      <c r="F853" s="9">
        <v>41267.399305555555</v>
      </c>
      <c r="G853" s="10">
        <v>41533</v>
      </c>
      <c r="H853" s="10">
        <v>42994</v>
      </c>
      <c r="I853" s="8" t="s">
        <v>1761</v>
      </c>
      <c r="J853" s="8" t="str">
        <f t="shared" ref="J853:J858" si="1">"North Western, Solwezi"</f>
        <v>North Western, Solwezi</v>
      </c>
    </row>
    <row r="854" spans="1:10" x14ac:dyDescent="0.2">
      <c r="A854" s="1" t="str">
        <f>"18522-HQ-SEL"</f>
        <v>18522-HQ-SEL</v>
      </c>
      <c r="B854" s="5" t="s">
        <v>1762</v>
      </c>
      <c r="C854" s="5" t="s">
        <v>34</v>
      </c>
      <c r="D854" s="5" t="s">
        <v>1763</v>
      </c>
      <c r="E854" s="5" t="s">
        <v>13</v>
      </c>
      <c r="F854" s="6">
        <v>41270.524305555555</v>
      </c>
      <c r="G854" s="7">
        <v>41337</v>
      </c>
      <c r="H854" s="7">
        <v>43162</v>
      </c>
      <c r="I854" s="5" t="s">
        <v>1764</v>
      </c>
      <c r="J854" s="5" t="str">
        <f t="shared" si="1"/>
        <v>North Western, Solwezi</v>
      </c>
    </row>
    <row r="855" spans="1:10" x14ac:dyDescent="0.2">
      <c r="A855" s="2" t="str">
        <f>"18526-HQ-SEL"</f>
        <v>18526-HQ-SEL</v>
      </c>
      <c r="B855" s="8" t="s">
        <v>1653</v>
      </c>
      <c r="C855" s="8" t="s">
        <v>34</v>
      </c>
      <c r="D855" s="8" t="s">
        <v>1763</v>
      </c>
      <c r="E855" s="8" t="s">
        <v>13</v>
      </c>
      <c r="F855" s="9">
        <v>41271.413194444445</v>
      </c>
      <c r="G855" s="10">
        <v>41334</v>
      </c>
      <c r="H855" s="10">
        <v>43159</v>
      </c>
      <c r="I855" s="8" t="s">
        <v>1765</v>
      </c>
      <c r="J855" s="8" t="str">
        <f t="shared" si="1"/>
        <v>North Western, Solwezi</v>
      </c>
    </row>
    <row r="856" spans="1:10" x14ac:dyDescent="0.2">
      <c r="A856" s="1" t="str">
        <f>"18528-HQ-SEL"</f>
        <v>18528-HQ-SEL</v>
      </c>
      <c r="B856" s="5" t="s">
        <v>1766</v>
      </c>
      <c r="C856" s="5" t="s">
        <v>34</v>
      </c>
      <c r="D856" s="5" t="s">
        <v>97</v>
      </c>
      <c r="E856" s="5" t="s">
        <v>13</v>
      </c>
      <c r="F856" s="6">
        <v>41271.459027777775</v>
      </c>
      <c r="G856" s="7">
        <v>41402</v>
      </c>
      <c r="H856" s="7">
        <v>43227</v>
      </c>
      <c r="I856" s="5" t="s">
        <v>1767</v>
      </c>
      <c r="J856" s="5" t="str">
        <f t="shared" si="1"/>
        <v>North Western, Solwezi</v>
      </c>
    </row>
    <row r="857" spans="1:10" x14ac:dyDescent="0.2">
      <c r="A857" s="2" t="str">
        <f>"18553-HQ-SEL"</f>
        <v>18553-HQ-SEL</v>
      </c>
      <c r="B857" s="8" t="s">
        <v>1768</v>
      </c>
      <c r="C857" s="8" t="s">
        <v>34</v>
      </c>
      <c r="D857" s="8" t="s">
        <v>645</v>
      </c>
      <c r="E857" s="8" t="s">
        <v>13</v>
      </c>
      <c r="F857" s="9">
        <v>41277.504861111112</v>
      </c>
      <c r="G857" s="10">
        <v>41422</v>
      </c>
      <c r="H857" s="10">
        <v>43247</v>
      </c>
      <c r="I857" s="8" t="s">
        <v>1769</v>
      </c>
      <c r="J857" s="8" t="str">
        <f t="shared" si="1"/>
        <v>North Western, Solwezi</v>
      </c>
    </row>
    <row r="858" spans="1:10" x14ac:dyDescent="0.2">
      <c r="A858" s="1" t="str">
        <f>"18554-HQ-SEL"</f>
        <v>18554-HQ-SEL</v>
      </c>
      <c r="B858" s="5" t="s">
        <v>1770</v>
      </c>
      <c r="C858" s="5" t="s">
        <v>34</v>
      </c>
      <c r="D858" s="5" t="s">
        <v>308</v>
      </c>
      <c r="E858" s="5" t="s">
        <v>13</v>
      </c>
      <c r="F858" s="6">
        <v>41281.499305555553</v>
      </c>
      <c r="G858" s="7">
        <v>41422</v>
      </c>
      <c r="H858" s="7">
        <v>43247</v>
      </c>
      <c r="I858" s="5" t="s">
        <v>1769</v>
      </c>
      <c r="J858" s="5" t="str">
        <f t="shared" si="1"/>
        <v>North Western, Solwezi</v>
      </c>
    </row>
    <row r="859" spans="1:10" x14ac:dyDescent="0.2">
      <c r="A859" s="2" t="str">
        <f>"18596-HQ-LEL"</f>
        <v>18596-HQ-LEL</v>
      </c>
      <c r="B859" s="8" t="s">
        <v>1771</v>
      </c>
      <c r="C859" s="8" t="s">
        <v>15</v>
      </c>
      <c r="D859" s="8" t="s">
        <v>285</v>
      </c>
      <c r="E859" s="8" t="s">
        <v>72</v>
      </c>
      <c r="F859" s="9">
        <v>41288.546527777777</v>
      </c>
      <c r="G859" s="10">
        <v>41407</v>
      </c>
      <c r="H859" s="10">
        <v>42868</v>
      </c>
      <c r="I859" s="8" t="s">
        <v>1772</v>
      </c>
      <c r="J859" s="8" t="str">
        <f>"North Western, Kabompo, Zambezi"</f>
        <v>North Western, Kabompo, Zambezi</v>
      </c>
    </row>
    <row r="860" spans="1:10" x14ac:dyDescent="0.2">
      <c r="A860" s="1" t="str">
        <f>"18605-HQ-SEL"</f>
        <v>18605-HQ-SEL</v>
      </c>
      <c r="B860" s="5" t="s">
        <v>1773</v>
      </c>
      <c r="C860" s="5" t="s">
        <v>34</v>
      </c>
      <c r="D860" s="5" t="s">
        <v>813</v>
      </c>
      <c r="E860" s="5" t="s">
        <v>13</v>
      </c>
      <c r="F860" s="6">
        <v>41290.444027777776</v>
      </c>
      <c r="G860" s="7">
        <v>41402</v>
      </c>
      <c r="H860" s="7">
        <v>43227</v>
      </c>
      <c r="I860" s="5" t="s">
        <v>1774</v>
      </c>
      <c r="J860" s="5" t="str">
        <f>"Copperbelt, Ndola"</f>
        <v>Copperbelt, Ndola</v>
      </c>
    </row>
    <row r="861" spans="1:10" x14ac:dyDescent="0.2">
      <c r="A861" s="2" t="str">
        <f>"18610-HQ-SEL"</f>
        <v>18610-HQ-SEL</v>
      </c>
      <c r="B861" s="8" t="s">
        <v>1775</v>
      </c>
      <c r="C861" s="8" t="s">
        <v>34</v>
      </c>
      <c r="D861" s="8" t="s">
        <v>1387</v>
      </c>
      <c r="E861" s="8" t="s">
        <v>13</v>
      </c>
      <c r="F861" s="9">
        <v>41292.46597222222</v>
      </c>
      <c r="G861" s="10">
        <v>41444</v>
      </c>
      <c r="H861" s="10">
        <v>43269</v>
      </c>
      <c r="I861" s="8" t="s">
        <v>1776</v>
      </c>
      <c r="J861" s="8" t="str">
        <f>"North Western, Solwezi"</f>
        <v>North Western, Solwezi</v>
      </c>
    </row>
    <row r="862" spans="1:10" x14ac:dyDescent="0.2">
      <c r="A862" s="1" t="str">
        <f>"18611-HQ-SEL"</f>
        <v>18611-HQ-SEL</v>
      </c>
      <c r="B862" s="5" t="s">
        <v>1775</v>
      </c>
      <c r="C862" s="5" t="s">
        <v>34</v>
      </c>
      <c r="D862" s="5" t="s">
        <v>1387</v>
      </c>
      <c r="E862" s="5" t="s">
        <v>13</v>
      </c>
      <c r="F862" s="6">
        <v>41292.467361111114</v>
      </c>
      <c r="G862" s="7">
        <v>41444</v>
      </c>
      <c r="H862" s="7">
        <v>43269</v>
      </c>
      <c r="I862" s="5" t="s">
        <v>1777</v>
      </c>
      <c r="J862" s="5" t="str">
        <f>"North Western, Mufumbwe"</f>
        <v>North Western, Mufumbwe</v>
      </c>
    </row>
    <row r="863" spans="1:10" x14ac:dyDescent="0.2">
      <c r="A863" s="2" t="str">
        <f>"18623-HQ-SEL"</f>
        <v>18623-HQ-SEL</v>
      </c>
      <c r="B863" s="8" t="s">
        <v>1778</v>
      </c>
      <c r="C863" s="8" t="s">
        <v>34</v>
      </c>
      <c r="D863" s="8" t="s">
        <v>1348</v>
      </c>
      <c r="E863" s="8" t="s">
        <v>13</v>
      </c>
      <c r="F863" s="9">
        <v>41296.518750000003</v>
      </c>
      <c r="G863" s="10">
        <v>41515</v>
      </c>
      <c r="H863" s="10">
        <v>43340</v>
      </c>
      <c r="I863" s="8" t="s">
        <v>1779</v>
      </c>
      <c r="J863" s="8" t="str">
        <f>"North Western, Solwezi"</f>
        <v>North Western, Solwezi</v>
      </c>
    </row>
    <row r="864" spans="1:10" x14ac:dyDescent="0.2">
      <c r="A864" s="1" t="str">
        <f>"18624-HQ-SEL"</f>
        <v>18624-HQ-SEL</v>
      </c>
      <c r="B864" s="5" t="s">
        <v>1778</v>
      </c>
      <c r="C864" s="5" t="s">
        <v>34</v>
      </c>
      <c r="D864" s="5" t="s">
        <v>1348</v>
      </c>
      <c r="E864" s="5" t="s">
        <v>13</v>
      </c>
      <c r="F864" s="6">
        <v>41296.520833333336</v>
      </c>
      <c r="G864" s="7">
        <v>41515</v>
      </c>
      <c r="H864" s="7">
        <v>43340</v>
      </c>
      <c r="I864" s="5" t="s">
        <v>1780</v>
      </c>
      <c r="J864" s="5" t="str">
        <f>"North Western, Solwezi"</f>
        <v>North Western, Solwezi</v>
      </c>
    </row>
    <row r="865" spans="1:10" x14ac:dyDescent="0.2">
      <c r="A865" s="2" t="str">
        <f>"18626-HQ-SEL"</f>
        <v>18626-HQ-SEL</v>
      </c>
      <c r="B865" s="8" t="s">
        <v>1781</v>
      </c>
      <c r="C865" s="8" t="s">
        <v>34</v>
      </c>
      <c r="D865" s="8" t="s">
        <v>1782</v>
      </c>
      <c r="E865" s="8" t="s">
        <v>13</v>
      </c>
      <c r="F865" s="9">
        <v>41296.534722222219</v>
      </c>
      <c r="G865" s="10">
        <v>41416</v>
      </c>
      <c r="H865" s="10">
        <v>43241</v>
      </c>
      <c r="I865" s="8" t="s">
        <v>1783</v>
      </c>
      <c r="J865" s="8" t="str">
        <f>"Copperbelt, Masaiti"</f>
        <v>Copperbelt, Masaiti</v>
      </c>
    </row>
    <row r="866" spans="1:10" x14ac:dyDescent="0.2">
      <c r="A866" s="1" t="str">
        <f>"18627-HQ-SEL"</f>
        <v>18627-HQ-SEL</v>
      </c>
      <c r="B866" s="5" t="s">
        <v>1781</v>
      </c>
      <c r="C866" s="5" t="s">
        <v>34</v>
      </c>
      <c r="D866" s="5" t="s">
        <v>1784</v>
      </c>
      <c r="E866" s="5" t="s">
        <v>13</v>
      </c>
      <c r="F866" s="6">
        <v>41296.536805555559</v>
      </c>
      <c r="G866" s="7">
        <v>41486</v>
      </c>
      <c r="H866" s="7">
        <v>43311</v>
      </c>
      <c r="I866" s="5" t="s">
        <v>1785</v>
      </c>
      <c r="J866" s="5" t="str">
        <f>""</f>
        <v/>
      </c>
    </row>
    <row r="867" spans="1:10" x14ac:dyDescent="0.2">
      <c r="A867" s="2" t="str">
        <f>"18632-HQ-SEL"</f>
        <v>18632-HQ-SEL</v>
      </c>
      <c r="B867" s="8" t="s">
        <v>1786</v>
      </c>
      <c r="C867" s="8" t="s">
        <v>34</v>
      </c>
      <c r="D867" s="8" t="s">
        <v>58</v>
      </c>
      <c r="E867" s="8" t="s">
        <v>13</v>
      </c>
      <c r="F867" s="9">
        <v>41297.542361111111</v>
      </c>
      <c r="G867" s="10">
        <v>41619</v>
      </c>
      <c r="H867" s="10">
        <v>43444</v>
      </c>
      <c r="I867" s="8" t="s">
        <v>1787</v>
      </c>
      <c r="J867" s="8" t="str">
        <f>"North Western, Mufumbwe"</f>
        <v>North Western, Mufumbwe</v>
      </c>
    </row>
    <row r="868" spans="1:10" x14ac:dyDescent="0.2">
      <c r="A868" s="1" t="str">
        <f>"18636-HQ-SEL"</f>
        <v>18636-HQ-SEL</v>
      </c>
      <c r="B868" s="5" t="s">
        <v>1788</v>
      </c>
      <c r="C868" s="5" t="s">
        <v>34</v>
      </c>
      <c r="D868" s="5" t="s">
        <v>51</v>
      </c>
      <c r="E868" s="5" t="s">
        <v>13</v>
      </c>
      <c r="F868" s="6">
        <v>41298.461805555555</v>
      </c>
      <c r="G868" s="7">
        <v>41402</v>
      </c>
      <c r="H868" s="7">
        <v>43227</v>
      </c>
      <c r="I868" s="5" t="s">
        <v>1789</v>
      </c>
      <c r="J868" s="5" t="str">
        <f>"Central, Mumbwa"</f>
        <v>Central, Mumbwa</v>
      </c>
    </row>
    <row r="869" spans="1:10" x14ac:dyDescent="0.2">
      <c r="A869" s="2" t="str">
        <f>"18655-HQ-SEL"</f>
        <v>18655-HQ-SEL</v>
      </c>
      <c r="B869" s="8" t="s">
        <v>1790</v>
      </c>
      <c r="C869" s="8" t="s">
        <v>34</v>
      </c>
      <c r="D869" s="8" t="s">
        <v>1791</v>
      </c>
      <c r="E869" s="8" t="s">
        <v>13</v>
      </c>
      <c r="F869" s="9">
        <v>41304.515277777777</v>
      </c>
      <c r="G869" s="10">
        <v>41593</v>
      </c>
      <c r="H869" s="10">
        <v>43418</v>
      </c>
      <c r="I869" s="8" t="s">
        <v>1792</v>
      </c>
      <c r="J869" s="8" t="str">
        <f>"Copperbelt, Luanshya"</f>
        <v>Copperbelt, Luanshya</v>
      </c>
    </row>
    <row r="870" spans="1:10" x14ac:dyDescent="0.2">
      <c r="A870" s="1" t="str">
        <f>"18660-HQ-SEL"</f>
        <v>18660-HQ-SEL</v>
      </c>
      <c r="B870" s="5" t="s">
        <v>1793</v>
      </c>
      <c r="C870" s="5" t="s">
        <v>34</v>
      </c>
      <c r="D870" s="5" t="s">
        <v>1413</v>
      </c>
      <c r="E870" s="5" t="s">
        <v>72</v>
      </c>
      <c r="F870" s="6">
        <v>41305.511111111111</v>
      </c>
      <c r="G870" s="7">
        <v>41428</v>
      </c>
      <c r="H870" s="7">
        <v>43253</v>
      </c>
      <c r="I870" s="5" t="s">
        <v>1794</v>
      </c>
      <c r="J870" s="5" t="str">
        <f>"Northern, Isoka"</f>
        <v>Northern, Isoka</v>
      </c>
    </row>
    <row r="871" spans="1:10" x14ac:dyDescent="0.2">
      <c r="A871" s="2" t="str">
        <f>"18661-HQ-SEL"</f>
        <v>18661-HQ-SEL</v>
      </c>
      <c r="B871" s="8" t="s">
        <v>1795</v>
      </c>
      <c r="C871" s="8" t="s">
        <v>34</v>
      </c>
      <c r="D871" s="8" t="s">
        <v>45</v>
      </c>
      <c r="E871" s="8" t="s">
        <v>13</v>
      </c>
      <c r="F871" s="9">
        <v>41306.400000000001</v>
      </c>
      <c r="G871" s="10">
        <v>41486</v>
      </c>
      <c r="H871" s="10">
        <v>43311</v>
      </c>
      <c r="I871" s="8" t="s">
        <v>1796</v>
      </c>
      <c r="J871" s="8" t="str">
        <f>"Southern, Choma"</f>
        <v>Southern, Choma</v>
      </c>
    </row>
    <row r="872" spans="1:10" x14ac:dyDescent="0.2">
      <c r="A872" s="1" t="str">
        <f>"18662-HQ-SEL"</f>
        <v>18662-HQ-SEL</v>
      </c>
      <c r="B872" s="5" t="s">
        <v>1797</v>
      </c>
      <c r="C872" s="5" t="s">
        <v>34</v>
      </c>
      <c r="D872" s="5" t="s">
        <v>153</v>
      </c>
      <c r="E872" s="5" t="s">
        <v>13</v>
      </c>
      <c r="F872" s="6">
        <v>41309.424305555556</v>
      </c>
      <c r="G872" s="7">
        <v>41411</v>
      </c>
      <c r="H872" s="7">
        <v>43236</v>
      </c>
      <c r="I872" s="5" t="s">
        <v>1798</v>
      </c>
      <c r="J872" s="5" t="str">
        <f>"Luapula, Mwense"</f>
        <v>Luapula, Mwense</v>
      </c>
    </row>
    <row r="873" spans="1:10" x14ac:dyDescent="0.2">
      <c r="A873" s="2" t="str">
        <f>"18672-HQ-SEL"</f>
        <v>18672-HQ-SEL</v>
      </c>
      <c r="B873" s="8" t="s">
        <v>1799</v>
      </c>
      <c r="C873" s="8" t="s">
        <v>34</v>
      </c>
      <c r="D873" s="8" t="s">
        <v>1800</v>
      </c>
      <c r="E873" s="8" t="s">
        <v>13</v>
      </c>
      <c r="F873" s="9">
        <v>41312.469444444447</v>
      </c>
      <c r="G873" s="10">
        <v>41506</v>
      </c>
      <c r="H873" s="10">
        <v>43331</v>
      </c>
      <c r="I873" s="8" t="s">
        <v>1801</v>
      </c>
      <c r="J873" s="8" t="str">
        <f>"North Western, Solwezi"</f>
        <v>North Western, Solwezi</v>
      </c>
    </row>
    <row r="874" spans="1:10" x14ac:dyDescent="0.2">
      <c r="A874" s="1" t="str">
        <f>"18673-HQ-SEL"</f>
        <v>18673-HQ-SEL</v>
      </c>
      <c r="B874" s="5" t="s">
        <v>1799</v>
      </c>
      <c r="C874" s="5" t="s">
        <v>34</v>
      </c>
      <c r="D874" s="5" t="s">
        <v>1802</v>
      </c>
      <c r="E874" s="5" t="s">
        <v>13</v>
      </c>
      <c r="F874" s="6">
        <v>41312.465277777781</v>
      </c>
      <c r="G874" s="7">
        <v>41506</v>
      </c>
      <c r="H874" s="7">
        <v>43331</v>
      </c>
      <c r="I874" s="5" t="s">
        <v>1803</v>
      </c>
      <c r="J874" s="5" t="str">
        <f>"North Western, Solwezi"</f>
        <v>North Western, Solwezi</v>
      </c>
    </row>
    <row r="875" spans="1:10" x14ac:dyDescent="0.2">
      <c r="A875" s="2" t="str">
        <f>"18674-HQ-SEL"</f>
        <v>18674-HQ-SEL</v>
      </c>
      <c r="B875" s="8" t="s">
        <v>1799</v>
      </c>
      <c r="C875" s="8" t="s">
        <v>34</v>
      </c>
      <c r="D875" s="8" t="s">
        <v>1802</v>
      </c>
      <c r="E875" s="8" t="s">
        <v>13</v>
      </c>
      <c r="F875" s="9">
        <v>41312.463888888888</v>
      </c>
      <c r="G875" s="10">
        <v>41506</v>
      </c>
      <c r="H875" s="10">
        <v>43331</v>
      </c>
      <c r="I875" s="8" t="s">
        <v>1804</v>
      </c>
      <c r="J875" s="8" t="str">
        <f>"North Western, Solwezi"</f>
        <v>North Western, Solwezi</v>
      </c>
    </row>
    <row r="876" spans="1:10" x14ac:dyDescent="0.2">
      <c r="A876" s="1" t="str">
        <f>"18679-HQ-SEL"</f>
        <v>18679-HQ-SEL</v>
      </c>
      <c r="B876" s="5" t="s">
        <v>1805</v>
      </c>
      <c r="C876" s="5" t="s">
        <v>34</v>
      </c>
      <c r="D876" s="5" t="s">
        <v>1600</v>
      </c>
      <c r="E876" s="5" t="s">
        <v>13</v>
      </c>
      <c r="F876" s="6">
        <v>41313.551388888889</v>
      </c>
      <c r="G876" s="7">
        <v>41403</v>
      </c>
      <c r="H876" s="7">
        <v>43228</v>
      </c>
      <c r="I876" s="5" t="s">
        <v>1806</v>
      </c>
      <c r="J876" s="5" t="str">
        <f>"North Western, Solwezi"</f>
        <v>North Western, Solwezi</v>
      </c>
    </row>
    <row r="877" spans="1:10" x14ac:dyDescent="0.2">
      <c r="A877" s="2" t="str">
        <f>"18681-HQ-SEL"</f>
        <v>18681-HQ-SEL</v>
      </c>
      <c r="B877" s="8" t="s">
        <v>1805</v>
      </c>
      <c r="C877" s="8" t="s">
        <v>34</v>
      </c>
      <c r="D877" s="8" t="s">
        <v>1600</v>
      </c>
      <c r="E877" s="8" t="s">
        <v>72</v>
      </c>
      <c r="F877" s="9">
        <v>41313.547222222223</v>
      </c>
      <c r="G877" s="10">
        <v>41403</v>
      </c>
      <c r="H877" s="10">
        <v>43228</v>
      </c>
      <c r="I877" s="8" t="s">
        <v>1807</v>
      </c>
      <c r="J877" s="8" t="str">
        <f>"Copperbelt, Mpongwe"</f>
        <v>Copperbelt, Mpongwe</v>
      </c>
    </row>
    <row r="878" spans="1:10" x14ac:dyDescent="0.2">
      <c r="A878" s="1" t="str">
        <f>"18694-HQ-SEL"</f>
        <v>18694-HQ-SEL</v>
      </c>
      <c r="B878" s="5" t="s">
        <v>1808</v>
      </c>
      <c r="C878" s="5" t="s">
        <v>34</v>
      </c>
      <c r="D878" s="5" t="s">
        <v>1809</v>
      </c>
      <c r="E878" s="5" t="s">
        <v>13</v>
      </c>
      <c r="F878" s="6">
        <v>41317.470833333333</v>
      </c>
      <c r="G878" s="7">
        <v>41550</v>
      </c>
      <c r="H878" s="7">
        <v>43375</v>
      </c>
      <c r="I878" s="5" t="s">
        <v>1810</v>
      </c>
      <c r="J878" s="5" t="str">
        <f>"Central, Kapiri Mposhi"</f>
        <v>Central, Kapiri Mposhi</v>
      </c>
    </row>
    <row r="879" spans="1:10" x14ac:dyDescent="0.2">
      <c r="A879" s="2" t="str">
        <f>"18695-HQ-SEL"</f>
        <v>18695-HQ-SEL</v>
      </c>
      <c r="B879" s="8" t="s">
        <v>1811</v>
      </c>
      <c r="C879" s="8" t="s">
        <v>34</v>
      </c>
      <c r="D879" s="8" t="s">
        <v>950</v>
      </c>
      <c r="E879" s="8" t="s">
        <v>13</v>
      </c>
      <c r="F879" s="9">
        <v>41318.443749999999</v>
      </c>
      <c r="G879" s="10">
        <v>41547</v>
      </c>
      <c r="H879" s="10">
        <v>43372</v>
      </c>
      <c r="I879" s="8" t="s">
        <v>1812</v>
      </c>
      <c r="J879" s="8" t="str">
        <f>"Central, Chibombo"</f>
        <v>Central, Chibombo</v>
      </c>
    </row>
    <row r="880" spans="1:10" x14ac:dyDescent="0.2">
      <c r="A880" s="1" t="str">
        <f>"18696-HQ-SEL"</f>
        <v>18696-HQ-SEL</v>
      </c>
      <c r="B880" s="5" t="s">
        <v>1813</v>
      </c>
      <c r="C880" s="5" t="s">
        <v>34</v>
      </c>
      <c r="D880" s="5" t="s">
        <v>541</v>
      </c>
      <c r="E880" s="5" t="s">
        <v>13</v>
      </c>
      <c r="F880" s="6">
        <v>41318.493750000001</v>
      </c>
      <c r="G880" s="7">
        <v>41556</v>
      </c>
      <c r="H880" s="7">
        <v>43381</v>
      </c>
      <c r="I880" s="5" t="s">
        <v>1814</v>
      </c>
      <c r="J880" s="5" t="str">
        <f>"Lusaka, Kafue"</f>
        <v>Lusaka, Kafue</v>
      </c>
    </row>
    <row r="881" spans="1:10" x14ac:dyDescent="0.2">
      <c r="A881" s="2" t="str">
        <f>"18706-HQ-LEL"</f>
        <v>18706-HQ-LEL</v>
      </c>
      <c r="B881" s="8" t="s">
        <v>1815</v>
      </c>
      <c r="C881" s="8" t="s">
        <v>15</v>
      </c>
      <c r="D881" s="8" t="s">
        <v>507</v>
      </c>
      <c r="E881" s="8" t="s">
        <v>13</v>
      </c>
      <c r="F881" s="9">
        <v>41324.448611111111</v>
      </c>
      <c r="G881" s="10">
        <v>41928</v>
      </c>
      <c r="H881" s="10">
        <v>43388</v>
      </c>
      <c r="I881" s="8" t="s">
        <v>2293</v>
      </c>
      <c r="J881" s="8" t="str">
        <f>"Copperbelt, Mpongwe"</f>
        <v>Copperbelt, Mpongwe</v>
      </c>
    </row>
    <row r="882" spans="1:10" x14ac:dyDescent="0.2">
      <c r="A882" s="1" t="str">
        <f>"18713-HQ-SPP"</f>
        <v>18713-HQ-SPP</v>
      </c>
      <c r="B882" s="5" t="s">
        <v>1327</v>
      </c>
      <c r="C882" s="5" t="s">
        <v>1360</v>
      </c>
      <c r="D882" s="5" t="s">
        <v>38</v>
      </c>
      <c r="E882" s="5" t="s">
        <v>138</v>
      </c>
      <c r="F882" s="6">
        <v>41325.513888888891</v>
      </c>
      <c r="G882" s="7">
        <v>41330</v>
      </c>
      <c r="H882" s="7">
        <v>43155</v>
      </c>
      <c r="I882" s="5" t="s">
        <v>2294</v>
      </c>
      <c r="J882" s="5" t="str">
        <f>"Southern, Sinazongwe"</f>
        <v>Southern, Sinazongwe</v>
      </c>
    </row>
    <row r="883" spans="1:10" x14ac:dyDescent="0.2">
      <c r="A883" s="2" t="str">
        <f>"18753-HQ-SEL"</f>
        <v>18753-HQ-SEL</v>
      </c>
      <c r="B883" s="8" t="s">
        <v>1816</v>
      </c>
      <c r="C883" s="8" t="s">
        <v>34</v>
      </c>
      <c r="D883" s="8" t="s">
        <v>1817</v>
      </c>
      <c r="E883" s="8" t="s">
        <v>13</v>
      </c>
      <c r="F883" s="9">
        <v>41334.459722222222</v>
      </c>
      <c r="G883" s="10">
        <v>41536</v>
      </c>
      <c r="H883" s="10">
        <v>43361</v>
      </c>
      <c r="I883" s="8" t="s">
        <v>1818</v>
      </c>
      <c r="J883" s="8" t="str">
        <f>"Southern, Kalomo"</f>
        <v>Southern, Kalomo</v>
      </c>
    </row>
    <row r="884" spans="1:10" x14ac:dyDescent="0.2">
      <c r="A884" s="1" t="str">
        <f>"18771-HQ-SEL"</f>
        <v>18771-HQ-SEL</v>
      </c>
      <c r="B884" s="5" t="s">
        <v>1819</v>
      </c>
      <c r="C884" s="5" t="s">
        <v>34</v>
      </c>
      <c r="D884" s="5" t="s">
        <v>1820</v>
      </c>
      <c r="E884" s="5" t="s">
        <v>13</v>
      </c>
      <c r="F884" s="6">
        <v>41346.384722222225</v>
      </c>
      <c r="G884" s="7">
        <v>41494</v>
      </c>
      <c r="H884" s="7">
        <v>43319</v>
      </c>
      <c r="I884" s="5" t="s">
        <v>1821</v>
      </c>
      <c r="J884" s="5" t="str">
        <f>"Central, Kabwe"</f>
        <v>Central, Kabwe</v>
      </c>
    </row>
    <row r="885" spans="1:10" x14ac:dyDescent="0.2">
      <c r="A885" s="2" t="str">
        <f>"18775-HQ-SEL"</f>
        <v>18775-HQ-SEL</v>
      </c>
      <c r="B885" s="8" t="s">
        <v>1822</v>
      </c>
      <c r="C885" s="8" t="s">
        <v>34</v>
      </c>
      <c r="D885" s="8" t="s">
        <v>1823</v>
      </c>
      <c r="E885" s="8" t="s">
        <v>72</v>
      </c>
      <c r="F885" s="9">
        <v>41346.381249999999</v>
      </c>
      <c r="G885" s="10">
        <v>41403</v>
      </c>
      <c r="H885" s="10">
        <v>43228</v>
      </c>
      <c r="I885" s="8" t="s">
        <v>1824</v>
      </c>
      <c r="J885" s="8" t="str">
        <f>"Luapula, Mansa"</f>
        <v>Luapula, Mansa</v>
      </c>
    </row>
    <row r="886" spans="1:10" x14ac:dyDescent="0.2">
      <c r="A886" s="1" t="str">
        <f>"18777-HQ-SEL"</f>
        <v>18777-HQ-SEL</v>
      </c>
      <c r="B886" s="5" t="s">
        <v>1825</v>
      </c>
      <c r="C886" s="5" t="s">
        <v>34</v>
      </c>
      <c r="D886" s="5" t="s">
        <v>1826</v>
      </c>
      <c r="E886" s="5" t="s">
        <v>13</v>
      </c>
      <c r="F886" s="6">
        <v>41344.4375</v>
      </c>
      <c r="G886" s="7">
        <v>41600</v>
      </c>
      <c r="H886" s="7">
        <v>43425</v>
      </c>
      <c r="I886" s="5" t="s">
        <v>1827</v>
      </c>
      <c r="J886" s="5" t="str">
        <f>"Western, Mongu"</f>
        <v>Western, Mongu</v>
      </c>
    </row>
    <row r="887" spans="1:10" x14ac:dyDescent="0.2">
      <c r="A887" s="2" t="str">
        <f>"18784-HQ-SEL"</f>
        <v>18784-HQ-SEL</v>
      </c>
      <c r="B887" s="8" t="s">
        <v>175</v>
      </c>
      <c r="C887" s="8" t="s">
        <v>34</v>
      </c>
      <c r="D887" s="8" t="s">
        <v>1141</v>
      </c>
      <c r="E887" s="8" t="s">
        <v>13</v>
      </c>
      <c r="F887" s="9">
        <v>41348.504166666666</v>
      </c>
      <c r="G887" s="10">
        <v>41521</v>
      </c>
      <c r="H887" s="10">
        <v>43346</v>
      </c>
      <c r="I887" s="8" t="s">
        <v>1828</v>
      </c>
      <c r="J887" s="8" t="str">
        <f>"Southern, Kalomo"</f>
        <v>Southern, Kalomo</v>
      </c>
    </row>
    <row r="888" spans="1:10" x14ac:dyDescent="0.2">
      <c r="A888" s="1" t="str">
        <f>"18804-HQ-LEL"</f>
        <v>18804-HQ-LEL</v>
      </c>
      <c r="B888" s="5" t="s">
        <v>1829</v>
      </c>
      <c r="C888" s="5" t="s">
        <v>15</v>
      </c>
      <c r="D888" s="5" t="s">
        <v>1830</v>
      </c>
      <c r="E888" s="5" t="s">
        <v>13</v>
      </c>
      <c r="F888" s="6">
        <v>41359.388888888891</v>
      </c>
      <c r="G888" s="7">
        <v>41548</v>
      </c>
      <c r="H888" s="7">
        <v>43008</v>
      </c>
      <c r="I888" s="5" t="s">
        <v>1831</v>
      </c>
      <c r="J888" s="5" t="str">
        <f>"Copperbelt, Masaiti, Ndola"</f>
        <v>Copperbelt, Masaiti, Ndola</v>
      </c>
    </row>
    <row r="889" spans="1:10" x14ac:dyDescent="0.2">
      <c r="A889" s="2" t="str">
        <f>"18811-HQ-LEL"</f>
        <v>18811-HQ-LEL</v>
      </c>
      <c r="B889" s="8" t="s">
        <v>1832</v>
      </c>
      <c r="C889" s="8" t="s">
        <v>15</v>
      </c>
      <c r="D889" s="8" t="s">
        <v>1833</v>
      </c>
      <c r="E889" s="8" t="s">
        <v>13</v>
      </c>
      <c r="F889" s="9">
        <v>41367.816666666666</v>
      </c>
      <c r="G889" s="10">
        <v>41927</v>
      </c>
      <c r="H889" s="10">
        <v>43387</v>
      </c>
      <c r="I889" s="8" t="s">
        <v>2295</v>
      </c>
      <c r="J889" s="8" t="str">
        <f>"North Western, Mufumbwe"</f>
        <v>North Western, Mufumbwe</v>
      </c>
    </row>
    <row r="890" spans="1:10" x14ac:dyDescent="0.2">
      <c r="A890" s="1" t="str">
        <f>"18814-HQ-SEL"</f>
        <v>18814-HQ-SEL</v>
      </c>
      <c r="B890" s="5" t="s">
        <v>1834</v>
      </c>
      <c r="C890" s="5" t="s">
        <v>34</v>
      </c>
      <c r="D890" s="5" t="s">
        <v>487</v>
      </c>
      <c r="E890" s="5" t="s">
        <v>13</v>
      </c>
      <c r="F890" s="6">
        <v>41367.478472222225</v>
      </c>
      <c r="G890" s="7">
        <v>41401</v>
      </c>
      <c r="H890" s="7">
        <v>43226</v>
      </c>
      <c r="I890" s="5" t="s">
        <v>1835</v>
      </c>
      <c r="J890" s="5" t="str">
        <f>"Lusaka, Kafue"</f>
        <v>Lusaka, Kafue</v>
      </c>
    </row>
    <row r="891" spans="1:10" x14ac:dyDescent="0.2">
      <c r="A891" s="2" t="str">
        <f>"18821-HQ-SEL"</f>
        <v>18821-HQ-SEL</v>
      </c>
      <c r="B891" s="8" t="s">
        <v>1836</v>
      </c>
      <c r="C891" s="8" t="s">
        <v>34</v>
      </c>
      <c r="D891" s="8" t="s">
        <v>1837</v>
      </c>
      <c r="E891" s="8" t="s">
        <v>13</v>
      </c>
      <c r="F891" s="9">
        <v>41368.479166666664</v>
      </c>
      <c r="G891" s="10">
        <v>41624</v>
      </c>
      <c r="H891" s="10">
        <v>43449</v>
      </c>
      <c r="I891" s="8" t="s">
        <v>1838</v>
      </c>
      <c r="J891" s="8" t="str">
        <f>"Central, Serenje"</f>
        <v>Central, Serenje</v>
      </c>
    </row>
    <row r="892" spans="1:10" x14ac:dyDescent="0.2">
      <c r="A892" s="1" t="str">
        <f>"18824-HQ-SEL"</f>
        <v>18824-HQ-SEL</v>
      </c>
      <c r="B892" s="5" t="s">
        <v>1839</v>
      </c>
      <c r="C892" s="5" t="s">
        <v>34</v>
      </c>
      <c r="D892" s="5" t="s">
        <v>1840</v>
      </c>
      <c r="E892" s="5" t="s">
        <v>13</v>
      </c>
      <c r="F892" s="6">
        <v>41369.472222222219</v>
      </c>
      <c r="G892" s="7">
        <v>41522</v>
      </c>
      <c r="H892" s="7">
        <v>43347</v>
      </c>
      <c r="I892" s="5" t="s">
        <v>1841</v>
      </c>
      <c r="J892" s="5" t="str">
        <f>"North Western, Kabompo"</f>
        <v>North Western, Kabompo</v>
      </c>
    </row>
    <row r="893" spans="1:10" x14ac:dyDescent="0.2">
      <c r="A893" s="2" t="str">
        <f>"18826-HQ-SEL"</f>
        <v>18826-HQ-SEL</v>
      </c>
      <c r="B893" s="8" t="s">
        <v>1795</v>
      </c>
      <c r="C893" s="8" t="s">
        <v>34</v>
      </c>
      <c r="D893" s="8" t="s">
        <v>515</v>
      </c>
      <c r="E893" s="8" t="s">
        <v>13</v>
      </c>
      <c r="F893" s="9">
        <v>41369.479861111111</v>
      </c>
      <c r="G893" s="10">
        <v>41486</v>
      </c>
      <c r="H893" s="10">
        <v>43311</v>
      </c>
      <c r="I893" s="8" t="s">
        <v>1842</v>
      </c>
      <c r="J893" s="8" t="str">
        <f>"Northern, Mpika"</f>
        <v>Northern, Mpika</v>
      </c>
    </row>
    <row r="894" spans="1:10" x14ac:dyDescent="0.2">
      <c r="A894" s="1" t="str">
        <f>"18840-HQ-SEL"</f>
        <v>18840-HQ-SEL</v>
      </c>
      <c r="B894" s="5" t="s">
        <v>1843</v>
      </c>
      <c r="C894" s="5" t="s">
        <v>34</v>
      </c>
      <c r="D894" s="5" t="s">
        <v>45</v>
      </c>
      <c r="E894" s="5" t="s">
        <v>13</v>
      </c>
      <c r="F894" s="6">
        <v>41367.534722222219</v>
      </c>
      <c r="G894" s="7">
        <v>41481</v>
      </c>
      <c r="H894" s="7">
        <v>43306</v>
      </c>
      <c r="I894" s="5" t="s">
        <v>1844</v>
      </c>
      <c r="J894" s="5" t="str">
        <f>"Central, Chibombo"</f>
        <v>Central, Chibombo</v>
      </c>
    </row>
    <row r="895" spans="1:10" x14ac:dyDescent="0.2">
      <c r="A895" s="2" t="str">
        <f>"18846-HQ-LEL"</f>
        <v>18846-HQ-LEL</v>
      </c>
      <c r="B895" s="8" t="s">
        <v>109</v>
      </c>
      <c r="C895" s="8" t="s">
        <v>15</v>
      </c>
      <c r="D895" s="8" t="s">
        <v>105</v>
      </c>
      <c r="E895" s="8" t="s">
        <v>13</v>
      </c>
      <c r="F895" s="9">
        <v>41381.428472222222</v>
      </c>
      <c r="G895" s="10">
        <v>41485</v>
      </c>
      <c r="H895" s="10">
        <v>42945</v>
      </c>
      <c r="I895" s="8" t="s">
        <v>1845</v>
      </c>
      <c r="J895" s="8" t="str">
        <f>"North Western, Solwezi"</f>
        <v>North Western, Solwezi</v>
      </c>
    </row>
    <row r="896" spans="1:10" x14ac:dyDescent="0.2">
      <c r="A896" s="1" t="str">
        <f>"18856-HQ-SEL"</f>
        <v>18856-HQ-SEL</v>
      </c>
      <c r="B896" s="5" t="s">
        <v>1846</v>
      </c>
      <c r="C896" s="5" t="s">
        <v>34</v>
      </c>
      <c r="D896" s="5" t="s">
        <v>515</v>
      </c>
      <c r="E896" s="5" t="s">
        <v>13</v>
      </c>
      <c r="F896" s="6">
        <v>41381.538194444445</v>
      </c>
      <c r="G896" s="7">
        <v>41533</v>
      </c>
      <c r="H896" s="7">
        <v>43358</v>
      </c>
      <c r="I896" s="5" t="s">
        <v>1847</v>
      </c>
      <c r="J896" s="5" t="str">
        <f>"Northern, Mbala"</f>
        <v>Northern, Mbala</v>
      </c>
    </row>
    <row r="897" spans="1:10" x14ac:dyDescent="0.2">
      <c r="A897" s="2" t="str">
        <f>"18857-HQ-LPL"</f>
        <v>18857-HQ-LPL</v>
      </c>
      <c r="B897" s="8" t="s">
        <v>542</v>
      </c>
      <c r="C897" s="8" t="s">
        <v>1297</v>
      </c>
      <c r="D897" s="8" t="s">
        <v>1848</v>
      </c>
      <c r="E897" s="8" t="s">
        <v>72</v>
      </c>
      <c r="F897" s="9">
        <v>41382.379166666666</v>
      </c>
      <c r="G897" s="10">
        <v>41492</v>
      </c>
      <c r="H897" s="10">
        <v>42952</v>
      </c>
      <c r="I897" s="8" t="s">
        <v>2296</v>
      </c>
      <c r="J897" s="8" t="str">
        <f>"North Western, Kasempa, Mufumbwe"</f>
        <v>North Western, Kasempa, Mufumbwe</v>
      </c>
    </row>
    <row r="898" spans="1:10" x14ac:dyDescent="0.2">
      <c r="A898" s="1" t="str">
        <f>"18865-HQ-LPL"</f>
        <v>18865-HQ-LPL</v>
      </c>
      <c r="B898" s="5" t="s">
        <v>109</v>
      </c>
      <c r="C898" s="5" t="s">
        <v>1297</v>
      </c>
      <c r="D898" s="5" t="s">
        <v>1849</v>
      </c>
      <c r="E898" s="5" t="s">
        <v>72</v>
      </c>
      <c r="F898" s="6">
        <v>41383.507638888892</v>
      </c>
      <c r="G898" s="7">
        <v>41396</v>
      </c>
      <c r="H898" s="7">
        <v>42856</v>
      </c>
      <c r="I898" s="5" t="s">
        <v>1850</v>
      </c>
      <c r="J898" s="5" t="str">
        <f>"North Western, Kasempa"</f>
        <v>North Western, Kasempa</v>
      </c>
    </row>
    <row r="899" spans="1:10" x14ac:dyDescent="0.2">
      <c r="A899" s="2" t="str">
        <f>"18866-HQ-LPL"</f>
        <v>18866-HQ-LPL</v>
      </c>
      <c r="B899" s="8" t="s">
        <v>109</v>
      </c>
      <c r="C899" s="8" t="s">
        <v>1297</v>
      </c>
      <c r="D899" s="8" t="s">
        <v>1851</v>
      </c>
      <c r="E899" s="8" t="s">
        <v>72</v>
      </c>
      <c r="F899" s="9">
        <v>41383.510416666664</v>
      </c>
      <c r="G899" s="10">
        <v>41396</v>
      </c>
      <c r="H899" s="10">
        <v>42856</v>
      </c>
      <c r="I899" s="8" t="s">
        <v>1852</v>
      </c>
      <c r="J899" s="8" t="str">
        <f>"North Western, Kabompo"</f>
        <v>North Western, Kabompo</v>
      </c>
    </row>
    <row r="900" spans="1:10" x14ac:dyDescent="0.2">
      <c r="A900" s="1" t="str">
        <f>"18878-HQ-LPL"</f>
        <v>18878-HQ-LPL</v>
      </c>
      <c r="B900" s="5" t="s">
        <v>1853</v>
      </c>
      <c r="C900" s="5" t="s">
        <v>15</v>
      </c>
      <c r="D900" s="5" t="s">
        <v>58</v>
      </c>
      <c r="E900" s="5" t="s">
        <v>72</v>
      </c>
      <c r="F900" s="6">
        <v>41386.3828125</v>
      </c>
      <c r="G900" s="7">
        <v>41512</v>
      </c>
      <c r="H900" s="7">
        <v>42972</v>
      </c>
      <c r="I900" s="5" t="s">
        <v>1854</v>
      </c>
      <c r="J900" s="5" t="str">
        <f>"North Western, Kasempa"</f>
        <v>North Western, Kasempa</v>
      </c>
    </row>
    <row r="901" spans="1:10" x14ac:dyDescent="0.2">
      <c r="A901" s="2" t="str">
        <f>"18882-HQ-SEL"</f>
        <v>18882-HQ-SEL</v>
      </c>
      <c r="B901" s="8" t="s">
        <v>42</v>
      </c>
      <c r="C901" s="8" t="s">
        <v>34</v>
      </c>
      <c r="D901" s="8" t="s">
        <v>1855</v>
      </c>
      <c r="E901" s="8" t="s">
        <v>13</v>
      </c>
      <c r="F901" s="9">
        <v>41386.51226851852</v>
      </c>
      <c r="G901" s="10">
        <v>41487</v>
      </c>
      <c r="H901" s="10">
        <v>43312</v>
      </c>
      <c r="I901" s="8" t="s">
        <v>1856</v>
      </c>
      <c r="J901" s="8" t="str">
        <f>"Lusaka, Chongwe, Kafue, Lusaka"</f>
        <v>Lusaka, Chongwe, Kafue, Lusaka</v>
      </c>
    </row>
    <row r="902" spans="1:10" x14ac:dyDescent="0.2">
      <c r="A902" s="1" t="str">
        <f>"18883-HQ-SEL"</f>
        <v>18883-HQ-SEL</v>
      </c>
      <c r="B902" s="5" t="s">
        <v>1857</v>
      </c>
      <c r="C902" s="5" t="s">
        <v>34</v>
      </c>
      <c r="D902" s="5" t="s">
        <v>1858</v>
      </c>
      <c r="E902" s="5" t="s">
        <v>13</v>
      </c>
      <c r="F902" s="6">
        <v>41388.392326388886</v>
      </c>
      <c r="G902" s="7">
        <v>41485</v>
      </c>
      <c r="H902" s="7">
        <v>43310</v>
      </c>
      <c r="I902" s="5" t="s">
        <v>1859</v>
      </c>
      <c r="J902" s="5" t="str">
        <f>"Central, Mkushi"</f>
        <v>Central, Mkushi</v>
      </c>
    </row>
    <row r="903" spans="1:10" x14ac:dyDescent="0.2">
      <c r="A903" s="2" t="str">
        <f>"18891-HQ-SEL"</f>
        <v>18891-HQ-SEL</v>
      </c>
      <c r="B903" s="8" t="s">
        <v>1568</v>
      </c>
      <c r="C903" s="8" t="s">
        <v>34</v>
      </c>
      <c r="D903" s="8" t="s">
        <v>54</v>
      </c>
      <c r="E903" s="8" t="s">
        <v>13</v>
      </c>
      <c r="F903" s="9">
        <v>41390.699490740742</v>
      </c>
      <c r="G903" s="10">
        <v>41509</v>
      </c>
      <c r="H903" s="10">
        <v>43334</v>
      </c>
      <c r="I903" s="8" t="s">
        <v>1860</v>
      </c>
      <c r="J903" s="8" t="str">
        <f>"Copperbelt, Masaiti"</f>
        <v>Copperbelt, Masaiti</v>
      </c>
    </row>
    <row r="904" spans="1:10" x14ac:dyDescent="0.2">
      <c r="A904" s="1" t="str">
        <f>"18918-HQ-SEL"</f>
        <v>18918-HQ-SEL</v>
      </c>
      <c r="B904" s="5" t="s">
        <v>1861</v>
      </c>
      <c r="C904" s="5" t="s">
        <v>34</v>
      </c>
      <c r="D904" s="5" t="s">
        <v>1862</v>
      </c>
      <c r="E904" s="5" t="s">
        <v>13</v>
      </c>
      <c r="F904" s="6">
        <v>41404.520833333336</v>
      </c>
      <c r="G904" s="7">
        <v>41512</v>
      </c>
      <c r="H904" s="7">
        <v>43337</v>
      </c>
      <c r="I904" s="5" t="s">
        <v>1863</v>
      </c>
      <c r="J904" s="5" t="str">
        <f>"Eastern, Chama"</f>
        <v>Eastern, Chama</v>
      </c>
    </row>
    <row r="905" spans="1:10" x14ac:dyDescent="0.2">
      <c r="A905" s="2" t="str">
        <f>"18942-HQ-SEL"</f>
        <v>18942-HQ-SEL</v>
      </c>
      <c r="B905" s="8" t="s">
        <v>1864</v>
      </c>
      <c r="C905" s="8" t="s">
        <v>34</v>
      </c>
      <c r="D905" s="8" t="s">
        <v>60</v>
      </c>
      <c r="E905" s="8" t="s">
        <v>13</v>
      </c>
      <c r="F905" s="9">
        <v>41416.521527777775</v>
      </c>
      <c r="G905" s="10">
        <v>41501</v>
      </c>
      <c r="H905" s="10">
        <v>43326</v>
      </c>
      <c r="I905" s="8" t="s">
        <v>1865</v>
      </c>
      <c r="J905" s="8" t="str">
        <f>"North Western, Mwinilunga"</f>
        <v>North Western, Mwinilunga</v>
      </c>
    </row>
    <row r="906" spans="1:10" x14ac:dyDescent="0.2">
      <c r="A906" s="1" t="str">
        <f>"18956-HQ-LEL"</f>
        <v>18956-HQ-LEL</v>
      </c>
      <c r="B906" s="5" t="s">
        <v>1866</v>
      </c>
      <c r="C906" s="5" t="s">
        <v>15</v>
      </c>
      <c r="D906" s="5" t="s">
        <v>1867</v>
      </c>
      <c r="E906" s="5" t="s">
        <v>72</v>
      </c>
      <c r="F906" s="6">
        <v>41423.425694444442</v>
      </c>
      <c r="G906" s="7">
        <v>41800</v>
      </c>
      <c r="H906" s="7">
        <v>43260</v>
      </c>
      <c r="I906" s="5" t="s">
        <v>1868</v>
      </c>
      <c r="J906" s="5" t="str">
        <f>"Luapula, Luwingu, Mansa, Samfya; Northern, Luwingu"</f>
        <v>Luapula, Luwingu, Mansa, Samfya; Northern, Luwingu</v>
      </c>
    </row>
    <row r="907" spans="1:10" x14ac:dyDescent="0.2">
      <c r="A907" s="2" t="str">
        <f>"18959-HQ-SEL"</f>
        <v>18959-HQ-SEL</v>
      </c>
      <c r="B907" s="8" t="s">
        <v>1869</v>
      </c>
      <c r="C907" s="8" t="s">
        <v>34</v>
      </c>
      <c r="D907" s="8" t="s">
        <v>1870</v>
      </c>
      <c r="E907" s="8" t="s">
        <v>13</v>
      </c>
      <c r="F907" s="9">
        <v>41423.434027777781</v>
      </c>
      <c r="G907" s="10">
        <v>41549</v>
      </c>
      <c r="H907" s="10">
        <v>43374</v>
      </c>
      <c r="I907" s="8" t="s">
        <v>1871</v>
      </c>
      <c r="J907" s="8" t="str">
        <f>"Central, Chibombo; Lusaka, Kafue"</f>
        <v>Central, Chibombo; Lusaka, Kafue</v>
      </c>
    </row>
    <row r="908" spans="1:10" x14ac:dyDescent="0.2">
      <c r="A908" s="1" t="str">
        <f>"18960-HQ-SEL"</f>
        <v>18960-HQ-SEL</v>
      </c>
      <c r="B908" s="5" t="s">
        <v>1869</v>
      </c>
      <c r="C908" s="5" t="s">
        <v>34</v>
      </c>
      <c r="D908" s="5" t="s">
        <v>1872</v>
      </c>
      <c r="E908" s="5" t="s">
        <v>13</v>
      </c>
      <c r="F908" s="6">
        <v>41423.436111111114</v>
      </c>
      <c r="G908" s="7">
        <v>41549</v>
      </c>
      <c r="H908" s="7">
        <v>43374</v>
      </c>
      <c r="I908" s="5" t="s">
        <v>1873</v>
      </c>
      <c r="J908" s="5" t="str">
        <f>"Central, Chibombo"</f>
        <v>Central, Chibombo</v>
      </c>
    </row>
    <row r="909" spans="1:10" x14ac:dyDescent="0.2">
      <c r="A909" s="2" t="str">
        <f>"18966-HQ-LEL"</f>
        <v>18966-HQ-LEL</v>
      </c>
      <c r="B909" s="8" t="s">
        <v>1874</v>
      </c>
      <c r="C909" s="8" t="s">
        <v>15</v>
      </c>
      <c r="D909" s="8" t="s">
        <v>60</v>
      </c>
      <c r="E909" s="8" t="s">
        <v>13</v>
      </c>
      <c r="F909" s="9">
        <v>41424.489583333336</v>
      </c>
      <c r="G909" s="10">
        <v>41795</v>
      </c>
      <c r="H909" s="10">
        <v>43256</v>
      </c>
      <c r="I909" s="8" t="s">
        <v>1875</v>
      </c>
      <c r="J909" s="8" t="str">
        <f>"North Western, Solwezi"</f>
        <v>North Western, Solwezi</v>
      </c>
    </row>
    <row r="910" spans="1:10" x14ac:dyDescent="0.2">
      <c r="A910" s="1" t="str">
        <f>"18972-HQ-SEL"</f>
        <v>18972-HQ-SEL</v>
      </c>
      <c r="B910" s="5" t="s">
        <v>1876</v>
      </c>
      <c r="C910" s="5" t="s">
        <v>34</v>
      </c>
      <c r="D910" s="5" t="s">
        <v>51</v>
      </c>
      <c r="E910" s="5" t="s">
        <v>13</v>
      </c>
      <c r="F910" s="6">
        <v>41429.510844907411</v>
      </c>
      <c r="G910" s="7">
        <v>41533</v>
      </c>
      <c r="H910" s="7">
        <v>43358</v>
      </c>
      <c r="I910" s="5" t="s">
        <v>1877</v>
      </c>
      <c r="J910" s="5" t="str">
        <f>"North Western, Kasempa"</f>
        <v>North Western, Kasempa</v>
      </c>
    </row>
    <row r="911" spans="1:10" x14ac:dyDescent="0.2">
      <c r="A911" s="2" t="str">
        <f>"18987-HQ-LEL"</f>
        <v>18987-HQ-LEL</v>
      </c>
      <c r="B911" s="8" t="s">
        <v>1878</v>
      </c>
      <c r="C911" s="8" t="s">
        <v>15</v>
      </c>
      <c r="D911" s="8" t="s">
        <v>541</v>
      </c>
      <c r="E911" s="8" t="s">
        <v>13</v>
      </c>
      <c r="F911" s="9">
        <v>41435.504814814813</v>
      </c>
      <c r="G911" s="10">
        <v>41969</v>
      </c>
      <c r="H911" s="10">
        <v>43430</v>
      </c>
      <c r="I911" s="8" t="s">
        <v>1879</v>
      </c>
      <c r="J911" s="8" t="str">
        <f>"Copperbelt, Masaiti, Ndola"</f>
        <v>Copperbelt, Masaiti, Ndola</v>
      </c>
    </row>
    <row r="912" spans="1:10" x14ac:dyDescent="0.2">
      <c r="A912" s="1" t="str">
        <f>"18989-HQ-SEL"</f>
        <v>18989-HQ-SEL</v>
      </c>
      <c r="B912" s="5" t="s">
        <v>1880</v>
      </c>
      <c r="C912" s="5" t="s">
        <v>34</v>
      </c>
      <c r="D912" s="5" t="s">
        <v>1881</v>
      </c>
      <c r="E912" s="5" t="s">
        <v>13</v>
      </c>
      <c r="F912" s="6">
        <v>41435.528148148151</v>
      </c>
      <c r="G912" s="7">
        <v>41556</v>
      </c>
      <c r="H912" s="7">
        <v>43381</v>
      </c>
      <c r="I912" s="5" t="s">
        <v>1882</v>
      </c>
      <c r="J912" s="5" t="str">
        <f>"Central, Serenje"</f>
        <v>Central, Serenje</v>
      </c>
    </row>
    <row r="913" spans="1:10" x14ac:dyDescent="0.2">
      <c r="A913" s="2" t="str">
        <f>"19006-HQ-SEL"</f>
        <v>19006-HQ-SEL</v>
      </c>
      <c r="B913" s="8" t="s">
        <v>1883</v>
      </c>
      <c r="C913" s="8" t="s">
        <v>34</v>
      </c>
      <c r="D913" s="8" t="s">
        <v>1884</v>
      </c>
      <c r="E913" s="8" t="s">
        <v>13</v>
      </c>
      <c r="F913" s="9">
        <v>41439.445462962962</v>
      </c>
      <c r="G913" s="10">
        <v>41542</v>
      </c>
      <c r="H913" s="10">
        <v>43367</v>
      </c>
      <c r="I913" s="8" t="s">
        <v>1885</v>
      </c>
      <c r="J913" s="8" t="str">
        <f>"Eastern, Petauke"</f>
        <v>Eastern, Petauke</v>
      </c>
    </row>
    <row r="914" spans="1:10" x14ac:dyDescent="0.2">
      <c r="A914" s="1" t="str">
        <f>"19012-HQ-SEL"</f>
        <v>19012-HQ-SEL</v>
      </c>
      <c r="B914" s="5" t="s">
        <v>1846</v>
      </c>
      <c r="C914" s="5" t="s">
        <v>34</v>
      </c>
      <c r="D914" s="5" t="s">
        <v>515</v>
      </c>
      <c r="E914" s="5" t="s">
        <v>13</v>
      </c>
      <c r="F914" s="6">
        <v>41443.5</v>
      </c>
      <c r="G914" s="7">
        <v>41523</v>
      </c>
      <c r="H914" s="7">
        <v>43348</v>
      </c>
      <c r="I914" s="5" t="s">
        <v>1886</v>
      </c>
      <c r="J914" s="5" t="str">
        <f>"Northern, Mbala"</f>
        <v>Northern, Mbala</v>
      </c>
    </row>
    <row r="915" spans="1:10" x14ac:dyDescent="0.2">
      <c r="A915" s="2" t="str">
        <f>"19013-HQ-SEL"</f>
        <v>19013-HQ-SEL</v>
      </c>
      <c r="B915" s="8" t="s">
        <v>1846</v>
      </c>
      <c r="C915" s="8" t="s">
        <v>34</v>
      </c>
      <c r="D915" s="8" t="s">
        <v>515</v>
      </c>
      <c r="E915" s="8" t="s">
        <v>13</v>
      </c>
      <c r="F915" s="9">
        <v>41443.500694444447</v>
      </c>
      <c r="G915" s="10">
        <v>41523</v>
      </c>
      <c r="H915" s="10">
        <v>43348</v>
      </c>
      <c r="I915" s="8" t="s">
        <v>1887</v>
      </c>
      <c r="J915" s="8" t="str">
        <f>"Northern, Mbala, Mungwi"</f>
        <v>Northern, Mbala, Mungwi</v>
      </c>
    </row>
    <row r="916" spans="1:10" x14ac:dyDescent="0.2">
      <c r="A916" s="1" t="str">
        <f>"19023-HQ-LEL"</f>
        <v>19023-HQ-LEL</v>
      </c>
      <c r="B916" s="5" t="s">
        <v>57</v>
      </c>
      <c r="C916" s="5" t="s">
        <v>15</v>
      </c>
      <c r="D916" s="5" t="s">
        <v>153</v>
      </c>
      <c r="E916" s="5" t="s">
        <v>13</v>
      </c>
      <c r="F916" s="6">
        <v>41449.453472222223</v>
      </c>
      <c r="G916" s="7">
        <v>42086</v>
      </c>
      <c r="H916" s="7">
        <v>42816</v>
      </c>
      <c r="I916" s="5" t="s">
        <v>1888</v>
      </c>
      <c r="J916" s="5" t="str">
        <f>"North Western, Kabompo, Mufumbwe, Mwinilunga"</f>
        <v>North Western, Kabompo, Mufumbwe, Mwinilunga</v>
      </c>
    </row>
    <row r="917" spans="1:10" ht="22.5" x14ac:dyDescent="0.2">
      <c r="A917" s="2" t="str">
        <f>"19025-HQ-SEL"</f>
        <v>19025-HQ-SEL</v>
      </c>
      <c r="B917" s="8" t="s">
        <v>1889</v>
      </c>
      <c r="C917" s="8" t="s">
        <v>34</v>
      </c>
      <c r="D917" s="8" t="s">
        <v>1890</v>
      </c>
      <c r="E917" s="8" t="s">
        <v>13</v>
      </c>
      <c r="F917" s="9">
        <v>41449.458333333336</v>
      </c>
      <c r="G917" s="10">
        <v>41484</v>
      </c>
      <c r="H917" s="10">
        <v>43309</v>
      </c>
      <c r="I917" s="8" t="s">
        <v>1891</v>
      </c>
      <c r="J917" s="8" t="str">
        <f>"Southern, Siavonga"</f>
        <v>Southern, Siavonga</v>
      </c>
    </row>
    <row r="918" spans="1:10" x14ac:dyDescent="0.2">
      <c r="A918" s="1" t="str">
        <f>"19027-HQ-SEL"</f>
        <v>19027-HQ-SEL</v>
      </c>
      <c r="B918" s="5" t="s">
        <v>1892</v>
      </c>
      <c r="C918" s="5" t="s">
        <v>34</v>
      </c>
      <c r="D918" s="5" t="s">
        <v>350</v>
      </c>
      <c r="E918" s="5" t="s">
        <v>13</v>
      </c>
      <c r="F918" s="6">
        <v>41450.457638888889</v>
      </c>
      <c r="G918" s="7">
        <v>41549</v>
      </c>
      <c r="H918" s="7">
        <v>43374</v>
      </c>
      <c r="I918" s="5" t="s">
        <v>1893</v>
      </c>
      <c r="J918" s="5" t="str">
        <f>"Copperbelt, Chililabombwe"</f>
        <v>Copperbelt, Chililabombwe</v>
      </c>
    </row>
    <row r="919" spans="1:10" ht="22.5" x14ac:dyDescent="0.2">
      <c r="A919" s="2" t="str">
        <f>"19033-HQ-SEL"</f>
        <v>19033-HQ-SEL</v>
      </c>
      <c r="B919" s="8" t="s">
        <v>1894</v>
      </c>
      <c r="C919" s="8" t="s">
        <v>34</v>
      </c>
      <c r="D919" s="8" t="s">
        <v>153</v>
      </c>
      <c r="E919" s="8" t="s">
        <v>13</v>
      </c>
      <c r="F919" s="9">
        <v>41453.387499999997</v>
      </c>
      <c r="G919" s="10">
        <v>41513</v>
      </c>
      <c r="H919" s="10">
        <v>43338</v>
      </c>
      <c r="I919" s="8" t="s">
        <v>1895</v>
      </c>
      <c r="J919" s="8" t="str">
        <f>"Eastern, Petauke"</f>
        <v>Eastern, Petauke</v>
      </c>
    </row>
    <row r="920" spans="1:10" x14ac:dyDescent="0.2">
      <c r="A920" s="1" t="str">
        <f>"19041-HQ-LEL"</f>
        <v>19041-HQ-LEL</v>
      </c>
      <c r="B920" s="5" t="s">
        <v>1896</v>
      </c>
      <c r="C920" s="5" t="s">
        <v>15</v>
      </c>
      <c r="D920" s="5" t="s">
        <v>1897</v>
      </c>
      <c r="E920" s="5" t="s">
        <v>489</v>
      </c>
      <c r="F920" s="6">
        <v>41458.503472222219</v>
      </c>
      <c r="G920" s="7">
        <v>41863</v>
      </c>
      <c r="H920" s="7">
        <v>43323</v>
      </c>
      <c r="I920" s="5" t="s">
        <v>2297</v>
      </c>
      <c r="J920" s="5" t="str">
        <f>"Central, Mumbwa; Lusaka, Kafue"</f>
        <v>Central, Mumbwa; Lusaka, Kafue</v>
      </c>
    </row>
    <row r="921" spans="1:10" x14ac:dyDescent="0.2">
      <c r="A921" s="2" t="str">
        <f>"19045-HQ-SEL"</f>
        <v>19045-HQ-SEL</v>
      </c>
      <c r="B921" s="8" t="s">
        <v>1898</v>
      </c>
      <c r="C921" s="8" t="s">
        <v>34</v>
      </c>
      <c r="D921" s="8" t="s">
        <v>1899</v>
      </c>
      <c r="E921" s="8" t="s">
        <v>13</v>
      </c>
      <c r="F921" s="9">
        <v>41460.489583333336</v>
      </c>
      <c r="G921" s="10">
        <v>41592</v>
      </c>
      <c r="H921" s="10">
        <v>43417</v>
      </c>
      <c r="I921" s="8" t="s">
        <v>1900</v>
      </c>
      <c r="J921" s="8" t="str">
        <f>"North Western, Chavuma"</f>
        <v>North Western, Chavuma</v>
      </c>
    </row>
    <row r="922" spans="1:10" x14ac:dyDescent="0.2">
      <c r="A922" s="1" t="str">
        <f>"19061-HQ-SEL"</f>
        <v>19061-HQ-SEL</v>
      </c>
      <c r="B922" s="5" t="s">
        <v>1901</v>
      </c>
      <c r="C922" s="5" t="s">
        <v>34</v>
      </c>
      <c r="D922" s="5" t="s">
        <v>1902</v>
      </c>
      <c r="E922" s="5" t="s">
        <v>13</v>
      </c>
      <c r="F922" s="6">
        <v>41466.39166666667</v>
      </c>
      <c r="G922" s="7">
        <v>41550</v>
      </c>
      <c r="H922" s="7">
        <v>43375</v>
      </c>
      <c r="I922" s="5" t="s">
        <v>1903</v>
      </c>
      <c r="J922" s="5" t="str">
        <f>"Copperbelt, Lufwanyama"</f>
        <v>Copperbelt, Lufwanyama</v>
      </c>
    </row>
    <row r="923" spans="1:10" x14ac:dyDescent="0.2">
      <c r="A923" s="2" t="str">
        <f>"19080-HQ-SEL"</f>
        <v>19080-HQ-SEL</v>
      </c>
      <c r="B923" s="8" t="s">
        <v>1904</v>
      </c>
      <c r="C923" s="8" t="s">
        <v>34</v>
      </c>
      <c r="D923" s="8" t="s">
        <v>950</v>
      </c>
      <c r="E923" s="8" t="s">
        <v>13</v>
      </c>
      <c r="F923" s="9">
        <v>41472.431851851848</v>
      </c>
      <c r="G923" s="10">
        <v>41521</v>
      </c>
      <c r="H923" s="10">
        <v>43346</v>
      </c>
      <c r="I923" s="8" t="s">
        <v>1905</v>
      </c>
      <c r="J923" s="8" t="str">
        <f>"Central, Chibombo"</f>
        <v>Central, Chibombo</v>
      </c>
    </row>
    <row r="924" spans="1:10" x14ac:dyDescent="0.2">
      <c r="A924" s="1" t="str">
        <f>"19102-HQ-LPL"</f>
        <v>19102-HQ-LPL</v>
      </c>
      <c r="B924" s="5" t="s">
        <v>1906</v>
      </c>
      <c r="C924" s="5" t="s">
        <v>1297</v>
      </c>
      <c r="D924" s="5" t="s">
        <v>116</v>
      </c>
      <c r="E924" s="5" t="s">
        <v>72</v>
      </c>
      <c r="F924" s="6">
        <v>41484.493692129632</v>
      </c>
      <c r="G924" s="7">
        <v>42074</v>
      </c>
      <c r="H924" s="7">
        <v>42804</v>
      </c>
      <c r="I924" s="5" t="s">
        <v>2298</v>
      </c>
      <c r="J924" s="5" t="str">
        <f>"Lusaka, Chongwe"</f>
        <v>Lusaka, Chongwe</v>
      </c>
    </row>
    <row r="925" spans="1:10" x14ac:dyDescent="0.2">
      <c r="A925" s="2" t="str">
        <f>"19103-HQ-SEL"</f>
        <v>19103-HQ-SEL</v>
      </c>
      <c r="B925" s="8" t="s">
        <v>1907</v>
      </c>
      <c r="C925" s="8" t="s">
        <v>34</v>
      </c>
      <c r="D925" s="8" t="s">
        <v>575</v>
      </c>
      <c r="E925" s="8" t="s">
        <v>13</v>
      </c>
      <c r="F925" s="9">
        <v>41484.502083333333</v>
      </c>
      <c r="G925" s="10">
        <v>41526</v>
      </c>
      <c r="H925" s="10">
        <v>43351</v>
      </c>
      <c r="I925" s="8" t="s">
        <v>1908</v>
      </c>
      <c r="J925" s="8" t="str">
        <f>""</f>
        <v/>
      </c>
    </row>
    <row r="926" spans="1:10" x14ac:dyDescent="0.2">
      <c r="A926" s="1" t="str">
        <f>"19104-HQ-SEL"</f>
        <v>19104-HQ-SEL</v>
      </c>
      <c r="B926" s="5" t="s">
        <v>1909</v>
      </c>
      <c r="C926" s="5" t="s">
        <v>34</v>
      </c>
      <c r="D926" s="5" t="s">
        <v>950</v>
      </c>
      <c r="E926" s="5" t="s">
        <v>13</v>
      </c>
      <c r="F926" s="6">
        <v>41484.540567129632</v>
      </c>
      <c r="G926" s="7">
        <v>41523</v>
      </c>
      <c r="H926" s="7">
        <v>43348</v>
      </c>
      <c r="I926" s="5" t="s">
        <v>1910</v>
      </c>
      <c r="J926" s="5" t="str">
        <f>"Central, Kapiri Mposhi"</f>
        <v>Central, Kapiri Mposhi</v>
      </c>
    </row>
    <row r="927" spans="1:10" x14ac:dyDescent="0.2">
      <c r="A927" s="2" t="str">
        <f>"19123-HQ-SEL"</f>
        <v>19123-HQ-SEL</v>
      </c>
      <c r="B927" s="8" t="s">
        <v>1911</v>
      </c>
      <c r="C927" s="8" t="s">
        <v>34</v>
      </c>
      <c r="D927" s="8" t="s">
        <v>541</v>
      </c>
      <c r="E927" s="8" t="s">
        <v>13</v>
      </c>
      <c r="F927" s="9">
        <v>41492.521666666667</v>
      </c>
      <c r="G927" s="10">
        <v>41527</v>
      </c>
      <c r="H927" s="10">
        <v>43352</v>
      </c>
      <c r="I927" s="8" t="s">
        <v>1912</v>
      </c>
      <c r="J927" s="8" t="str">
        <f>"Lusaka, Kafue"</f>
        <v>Lusaka, Kafue</v>
      </c>
    </row>
    <row r="928" spans="1:10" x14ac:dyDescent="0.2">
      <c r="A928" s="1" t="str">
        <f>"19135-HQ-LEL"</f>
        <v>19135-HQ-LEL</v>
      </c>
      <c r="B928" s="5" t="s">
        <v>1352</v>
      </c>
      <c r="C928" s="5" t="s">
        <v>15</v>
      </c>
      <c r="D928" s="5" t="s">
        <v>533</v>
      </c>
      <c r="E928" s="5" t="s">
        <v>13</v>
      </c>
      <c r="F928" s="6">
        <v>41494.375185185185</v>
      </c>
      <c r="G928" s="7">
        <v>41544</v>
      </c>
      <c r="H928" s="7">
        <v>43004</v>
      </c>
      <c r="I928" s="5" t="s">
        <v>1913</v>
      </c>
      <c r="J928" s="5" t="str">
        <f>"Central, Kapiri Mposhi; North Western, Kasempa"</f>
        <v>Central, Kapiri Mposhi; North Western, Kasempa</v>
      </c>
    </row>
    <row r="929" spans="1:10" x14ac:dyDescent="0.2">
      <c r="A929" s="2" t="str">
        <f>"19153-HQ-SEL"</f>
        <v>19153-HQ-SEL</v>
      </c>
      <c r="B929" s="8" t="s">
        <v>1055</v>
      </c>
      <c r="C929" s="8" t="s">
        <v>34</v>
      </c>
      <c r="D929" s="8" t="s">
        <v>285</v>
      </c>
      <c r="E929" s="8" t="s">
        <v>13</v>
      </c>
      <c r="F929" s="9">
        <v>41498.42800925926</v>
      </c>
      <c r="G929" s="10">
        <v>41550</v>
      </c>
      <c r="H929" s="10">
        <v>43375</v>
      </c>
      <c r="I929" s="8" t="s">
        <v>1914</v>
      </c>
      <c r="J929" s="8" t="str">
        <f>"North Western, Mufumbwe"</f>
        <v>North Western, Mufumbwe</v>
      </c>
    </row>
    <row r="930" spans="1:10" x14ac:dyDescent="0.2">
      <c r="A930" s="1" t="str">
        <f>"19155-HQ-SEL"</f>
        <v>19155-HQ-SEL</v>
      </c>
      <c r="B930" s="5" t="s">
        <v>88</v>
      </c>
      <c r="C930" s="5" t="s">
        <v>34</v>
      </c>
      <c r="D930" s="5" t="s">
        <v>589</v>
      </c>
      <c r="E930" s="5" t="s">
        <v>13</v>
      </c>
      <c r="F930" s="6">
        <v>41499.439259259256</v>
      </c>
      <c r="G930" s="7">
        <v>41557</v>
      </c>
      <c r="H930" s="7">
        <v>43382</v>
      </c>
      <c r="I930" s="5" t="s">
        <v>1915</v>
      </c>
      <c r="J930" s="5" t="str">
        <f>"Central, Kapiri Mposhi, Mkushi"</f>
        <v>Central, Kapiri Mposhi, Mkushi</v>
      </c>
    </row>
    <row r="931" spans="1:10" x14ac:dyDescent="0.2">
      <c r="A931" s="2" t="str">
        <f>"19162-HQ-LEL"</f>
        <v>19162-HQ-LEL</v>
      </c>
      <c r="B931" s="8" t="s">
        <v>542</v>
      </c>
      <c r="C931" s="8" t="s">
        <v>15</v>
      </c>
      <c r="D931" s="8" t="s">
        <v>541</v>
      </c>
      <c r="E931" s="8" t="s">
        <v>489</v>
      </c>
      <c r="F931" s="9">
        <v>41500.51666666667</v>
      </c>
      <c r="G931" s="10">
        <v>41562</v>
      </c>
      <c r="H931" s="10">
        <v>43022</v>
      </c>
      <c r="I931" s="8" t="s">
        <v>1916</v>
      </c>
      <c r="J931" s="8" t="str">
        <f>"Lusaka, Chongwe"</f>
        <v>Lusaka, Chongwe</v>
      </c>
    </row>
    <row r="932" spans="1:10" x14ac:dyDescent="0.2">
      <c r="A932" s="1" t="str">
        <f>"19168-HQ-LEL"</f>
        <v>19168-HQ-LEL</v>
      </c>
      <c r="B932" s="5" t="s">
        <v>1352</v>
      </c>
      <c r="C932" s="5" t="s">
        <v>15</v>
      </c>
      <c r="D932" s="5" t="s">
        <v>533</v>
      </c>
      <c r="E932" s="5" t="s">
        <v>13</v>
      </c>
      <c r="F932" s="6">
        <v>41505.491666666669</v>
      </c>
      <c r="G932" s="7">
        <v>41660</v>
      </c>
      <c r="H932" s="7">
        <v>43120</v>
      </c>
      <c r="I932" s="5" t="s">
        <v>1917</v>
      </c>
      <c r="J932" s="5" t="str">
        <f>"Central, Chibombo, Mumbwa"</f>
        <v>Central, Chibombo, Mumbwa</v>
      </c>
    </row>
    <row r="933" spans="1:10" x14ac:dyDescent="0.2">
      <c r="A933" s="2" t="str">
        <f>"19169-HQ-AMR"</f>
        <v>19169-HQ-AMR</v>
      </c>
      <c r="B933" s="8" t="s">
        <v>1918</v>
      </c>
      <c r="C933" s="8" t="s">
        <v>19</v>
      </c>
      <c r="D933" s="8" t="s">
        <v>1919</v>
      </c>
      <c r="E933" s="8" t="s">
        <v>13</v>
      </c>
      <c r="F933" s="9">
        <v>41505.492361111108</v>
      </c>
      <c r="G933" s="10">
        <v>41555</v>
      </c>
      <c r="H933" s="10">
        <v>43015</v>
      </c>
      <c r="I933" s="8" t="s">
        <v>1920</v>
      </c>
      <c r="J933" s="8" t="str">
        <f>"Northern, Mpika"</f>
        <v>Northern, Mpika</v>
      </c>
    </row>
    <row r="934" spans="1:10" x14ac:dyDescent="0.2">
      <c r="A934" s="1" t="str">
        <f>"19198-HQ-LEL"</f>
        <v>19198-HQ-LEL</v>
      </c>
      <c r="B934" s="5" t="s">
        <v>1921</v>
      </c>
      <c r="C934" s="5" t="s">
        <v>15</v>
      </c>
      <c r="D934" s="5" t="s">
        <v>543</v>
      </c>
      <c r="E934" s="5" t="s">
        <v>13</v>
      </c>
      <c r="F934" s="6">
        <v>41516.520833333336</v>
      </c>
      <c r="G934" s="7">
        <v>41561</v>
      </c>
      <c r="H934" s="7">
        <v>43021</v>
      </c>
      <c r="I934" s="5" t="s">
        <v>2299</v>
      </c>
      <c r="J934" s="5" t="str">
        <f>"Central, Kapiri Mposhi, Mpongwe; Copperbelt, Mpongwe"</f>
        <v>Central, Kapiri Mposhi, Mpongwe; Copperbelt, Mpongwe</v>
      </c>
    </row>
    <row r="935" spans="1:10" x14ac:dyDescent="0.2">
      <c r="A935" s="2" t="str">
        <f>" 19203-HQ-LEL"</f>
        <v xml:space="preserve"> 19203-HQ-LEL</v>
      </c>
      <c r="B935" s="8" t="s">
        <v>1922</v>
      </c>
      <c r="C935" s="8" t="s">
        <v>15</v>
      </c>
      <c r="D935" s="8" t="s">
        <v>813</v>
      </c>
      <c r="E935" s="8" t="s">
        <v>13</v>
      </c>
      <c r="F935" s="9">
        <v>41520.5</v>
      </c>
      <c r="G935" s="10">
        <v>41859</v>
      </c>
      <c r="H935" s="10">
        <v>43320</v>
      </c>
      <c r="I935" s="8" t="s">
        <v>2300</v>
      </c>
      <c r="J935" s="8" t="str">
        <f>"North Western, Mwinilunga"</f>
        <v>North Western, Mwinilunga</v>
      </c>
    </row>
    <row r="936" spans="1:10" x14ac:dyDescent="0.2">
      <c r="A936" s="1" t="str">
        <f>"19204-HQ-SEL"</f>
        <v>19204-HQ-SEL</v>
      </c>
      <c r="B936" s="5" t="s">
        <v>1795</v>
      </c>
      <c r="C936" s="5" t="s">
        <v>34</v>
      </c>
      <c r="D936" s="5" t="s">
        <v>950</v>
      </c>
      <c r="E936" s="5" t="s">
        <v>13</v>
      </c>
      <c r="F936" s="6">
        <v>41520.526388888888</v>
      </c>
      <c r="G936" s="7">
        <v>41549</v>
      </c>
      <c r="H936" s="7">
        <v>43374</v>
      </c>
      <c r="I936" s="5" t="s">
        <v>1923</v>
      </c>
      <c r="J936" s="5" t="str">
        <f>"Central, Chibombo"</f>
        <v>Central, Chibombo</v>
      </c>
    </row>
    <row r="937" spans="1:10" x14ac:dyDescent="0.2">
      <c r="A937" s="2" t="str">
        <f>"19205-HQ-SEL"</f>
        <v>19205-HQ-SEL</v>
      </c>
      <c r="B937" s="8" t="s">
        <v>854</v>
      </c>
      <c r="C937" s="8" t="s">
        <v>34</v>
      </c>
      <c r="D937" s="8" t="s">
        <v>1924</v>
      </c>
      <c r="E937" s="8" t="s">
        <v>13</v>
      </c>
      <c r="F937" s="9">
        <v>41520.542361111111</v>
      </c>
      <c r="G937" s="10">
        <v>41635</v>
      </c>
      <c r="H937" s="10">
        <v>43460</v>
      </c>
      <c r="I937" s="8" t="s">
        <v>1925</v>
      </c>
      <c r="J937" s="8" t="str">
        <f>"Eastern, Lundazi"</f>
        <v>Eastern, Lundazi</v>
      </c>
    </row>
    <row r="938" spans="1:10" x14ac:dyDescent="0.2">
      <c r="A938" s="1" t="str">
        <f>"19220-HQ-SEL"</f>
        <v>19220-HQ-SEL</v>
      </c>
      <c r="B938" s="5" t="s">
        <v>1926</v>
      </c>
      <c r="C938" s="5" t="s">
        <v>34</v>
      </c>
      <c r="D938" s="5" t="s">
        <v>501</v>
      </c>
      <c r="E938" s="5" t="s">
        <v>13</v>
      </c>
      <c r="F938" s="6">
        <v>41526.447916666664</v>
      </c>
      <c r="G938" s="7">
        <v>41548</v>
      </c>
      <c r="H938" s="7">
        <v>43373</v>
      </c>
      <c r="I938" s="5" t="s">
        <v>1927</v>
      </c>
      <c r="J938" s="5" t="str">
        <f>"Lusaka, Chongwe"</f>
        <v>Lusaka, Chongwe</v>
      </c>
    </row>
    <row r="939" spans="1:10" x14ac:dyDescent="0.2">
      <c r="A939" s="2" t="str">
        <f>"19236-HQ-AMR"</f>
        <v>19236-HQ-AMR</v>
      </c>
      <c r="B939" s="8" t="s">
        <v>1928</v>
      </c>
      <c r="C939" s="8" t="s">
        <v>19</v>
      </c>
      <c r="D939" s="8" t="s">
        <v>40</v>
      </c>
      <c r="E939" s="8" t="s">
        <v>72</v>
      </c>
      <c r="F939" s="9">
        <v>41534.681342592594</v>
      </c>
      <c r="G939" s="10">
        <v>42109</v>
      </c>
      <c r="H939" s="10">
        <v>42839</v>
      </c>
      <c r="I939" s="8" t="s">
        <v>1929</v>
      </c>
      <c r="J939" s="8" t="str">
        <f>"North Western, Solwezi"</f>
        <v>North Western, Solwezi</v>
      </c>
    </row>
    <row r="940" spans="1:10" x14ac:dyDescent="0.2">
      <c r="A940" s="1" t="str">
        <f>"19238-HQ-SEL"</f>
        <v>19238-HQ-SEL</v>
      </c>
      <c r="B940" s="5" t="s">
        <v>1423</v>
      </c>
      <c r="C940" s="5" t="s">
        <v>34</v>
      </c>
      <c r="D940" s="5" t="s">
        <v>45</v>
      </c>
      <c r="E940" s="5" t="s">
        <v>13</v>
      </c>
      <c r="F940" s="6">
        <v>41534.501956018517</v>
      </c>
      <c r="G940" s="7">
        <v>41597</v>
      </c>
      <c r="H940" s="7">
        <v>43422</v>
      </c>
      <c r="I940" s="5" t="s">
        <v>1930</v>
      </c>
      <c r="J940" s="5" t="str">
        <f>"Eastern, Chama"</f>
        <v>Eastern, Chama</v>
      </c>
    </row>
    <row r="941" spans="1:10" x14ac:dyDescent="0.2">
      <c r="A941" s="2" t="str">
        <f>"19252-HQ-SEL"</f>
        <v>19252-HQ-SEL</v>
      </c>
      <c r="B941" s="8" t="s">
        <v>1931</v>
      </c>
      <c r="C941" s="8" t="s">
        <v>34</v>
      </c>
      <c r="D941" s="8" t="s">
        <v>909</v>
      </c>
      <c r="E941" s="8" t="s">
        <v>13</v>
      </c>
      <c r="F941" s="9">
        <v>41542.394444444442</v>
      </c>
      <c r="G941" s="10">
        <v>41617</v>
      </c>
      <c r="H941" s="10">
        <v>43442</v>
      </c>
      <c r="I941" s="8" t="s">
        <v>1932</v>
      </c>
      <c r="J941" s="8" t="str">
        <f>"North Western, Kasempa"</f>
        <v>North Western, Kasempa</v>
      </c>
    </row>
    <row r="942" spans="1:10" x14ac:dyDescent="0.2">
      <c r="A942" s="1" t="str">
        <f>"19256-HQ-SEL"</f>
        <v>19256-HQ-SEL</v>
      </c>
      <c r="B942" s="5" t="s">
        <v>1423</v>
      </c>
      <c r="C942" s="5" t="s">
        <v>34</v>
      </c>
      <c r="D942" s="5" t="s">
        <v>45</v>
      </c>
      <c r="E942" s="5" t="s">
        <v>13</v>
      </c>
      <c r="F942" s="6">
        <v>41543.477511574078</v>
      </c>
      <c r="G942" s="7">
        <v>41597</v>
      </c>
      <c r="H942" s="7">
        <v>43422</v>
      </c>
      <c r="I942" s="5" t="s">
        <v>1933</v>
      </c>
      <c r="J942" s="5" t="str">
        <f>"Eastern, Chadiza"</f>
        <v>Eastern, Chadiza</v>
      </c>
    </row>
    <row r="943" spans="1:10" x14ac:dyDescent="0.2">
      <c r="A943" s="2" t="str">
        <f>"19288-HQ-SEL"</f>
        <v>19288-HQ-SEL</v>
      </c>
      <c r="B943" s="8" t="s">
        <v>1448</v>
      </c>
      <c r="C943" s="8" t="s">
        <v>34</v>
      </c>
      <c r="D943" s="8" t="s">
        <v>1934</v>
      </c>
      <c r="E943" s="8" t="s">
        <v>13</v>
      </c>
      <c r="F943" s="9">
        <v>41558.513506944444</v>
      </c>
      <c r="G943" s="10">
        <v>41638</v>
      </c>
      <c r="H943" s="10">
        <v>43463</v>
      </c>
      <c r="I943" s="8" t="s">
        <v>1935</v>
      </c>
      <c r="J943" s="8" t="str">
        <f>"Central, Mkushi"</f>
        <v>Central, Mkushi</v>
      </c>
    </row>
    <row r="944" spans="1:10" x14ac:dyDescent="0.2">
      <c r="A944" s="1" t="str">
        <f>"19310-HQ-LEL"</f>
        <v>19310-HQ-LEL</v>
      </c>
      <c r="B944" s="5" t="s">
        <v>1936</v>
      </c>
      <c r="C944" s="5" t="s">
        <v>15</v>
      </c>
      <c r="D944" s="5" t="s">
        <v>1754</v>
      </c>
      <c r="E944" s="5" t="s">
        <v>13</v>
      </c>
      <c r="F944" s="6">
        <v>41572.401388888888</v>
      </c>
      <c r="G944" s="7">
        <v>41808</v>
      </c>
      <c r="H944" s="7">
        <v>43269</v>
      </c>
      <c r="I944" s="5" t="s">
        <v>1937</v>
      </c>
      <c r="J944" s="5" t="str">
        <f>"North Western, Kabompo"</f>
        <v>North Western, Kabompo</v>
      </c>
    </row>
    <row r="945" spans="1:10" x14ac:dyDescent="0.2">
      <c r="A945" s="2" t="str">
        <f>"19316-HQ-LEL"</f>
        <v>19316-HQ-LEL</v>
      </c>
      <c r="B945" s="8" t="s">
        <v>402</v>
      </c>
      <c r="C945" s="8" t="s">
        <v>15</v>
      </c>
      <c r="D945" s="8" t="s">
        <v>116</v>
      </c>
      <c r="E945" s="8" t="s">
        <v>72</v>
      </c>
      <c r="F945" s="9">
        <v>41577.382638888892</v>
      </c>
      <c r="G945" s="10">
        <v>42079</v>
      </c>
      <c r="H945" s="10">
        <v>42809</v>
      </c>
      <c r="I945" s="8" t="s">
        <v>1938</v>
      </c>
      <c r="J945" s="8" t="str">
        <f>"North Western, Solwezi"</f>
        <v>North Western, Solwezi</v>
      </c>
    </row>
    <row r="946" spans="1:10" ht="22.5" x14ac:dyDescent="0.2">
      <c r="A946" s="1" t="str">
        <f>"19327-HQ-LEL"</f>
        <v>19327-HQ-LEL</v>
      </c>
      <c r="B946" s="5" t="s">
        <v>1939</v>
      </c>
      <c r="C946" s="5" t="s">
        <v>15</v>
      </c>
      <c r="D946" s="5" t="s">
        <v>1324</v>
      </c>
      <c r="E946" s="5" t="s">
        <v>72</v>
      </c>
      <c r="F946" s="6">
        <v>41585.399189814816</v>
      </c>
      <c r="G946" s="7">
        <v>41774</v>
      </c>
      <c r="H946" s="7">
        <v>43235</v>
      </c>
      <c r="I946" s="5" t="s">
        <v>2301</v>
      </c>
      <c r="J946" s="5" t="str">
        <f>"Central, Kapiri Mposhi, Mpongwe; Copperbelt, Mpongwe; North Western, Solwezi"</f>
        <v>Central, Kapiri Mposhi, Mpongwe; Copperbelt, Mpongwe; North Western, Solwezi</v>
      </c>
    </row>
    <row r="947" spans="1:10" x14ac:dyDescent="0.2">
      <c r="A947" s="2" t="str">
        <f>"19334-HQ-LEL"</f>
        <v>19334-HQ-LEL</v>
      </c>
      <c r="B947" s="8" t="s">
        <v>1940</v>
      </c>
      <c r="C947" s="8" t="s">
        <v>15</v>
      </c>
      <c r="D947" s="8" t="s">
        <v>1247</v>
      </c>
      <c r="E947" s="8" t="s">
        <v>72</v>
      </c>
      <c r="F947" s="9">
        <v>41591.52847222222</v>
      </c>
      <c r="G947" s="10">
        <v>41662</v>
      </c>
      <c r="H947" s="10">
        <v>43122</v>
      </c>
      <c r="I947" s="8" t="s">
        <v>2302</v>
      </c>
      <c r="J947" s="8" t="str">
        <f>"Southern, Choma"</f>
        <v>Southern, Choma</v>
      </c>
    </row>
    <row r="948" spans="1:10" x14ac:dyDescent="0.2">
      <c r="A948" s="1" t="str">
        <f>"19376-HQ-AMR"</f>
        <v>19376-HQ-AMR</v>
      </c>
      <c r="B948" s="5" t="s">
        <v>1941</v>
      </c>
      <c r="C948" s="5" t="s">
        <v>19</v>
      </c>
      <c r="D948" s="5" t="s">
        <v>74</v>
      </c>
      <c r="E948" s="5" t="s">
        <v>72</v>
      </c>
      <c r="F948" s="6">
        <v>41612.518750000003</v>
      </c>
      <c r="G948" s="7">
        <v>42181</v>
      </c>
      <c r="H948" s="7">
        <v>42911</v>
      </c>
      <c r="I948" s="5" t="s">
        <v>1942</v>
      </c>
      <c r="J948" s="5" t="str">
        <f>"Lusaka, Chongwe"</f>
        <v>Lusaka, Chongwe</v>
      </c>
    </row>
    <row r="949" spans="1:10" x14ac:dyDescent="0.2">
      <c r="A949" s="2" t="str">
        <f>"19425-HQ-LEL"</f>
        <v>19425-HQ-LEL</v>
      </c>
      <c r="B949" s="8" t="s">
        <v>1943</v>
      </c>
      <c r="C949" s="8" t="s">
        <v>15</v>
      </c>
      <c r="D949" s="8" t="s">
        <v>589</v>
      </c>
      <c r="E949" s="8" t="s">
        <v>72</v>
      </c>
      <c r="F949" s="9">
        <v>41631.476388888892</v>
      </c>
      <c r="G949" s="10">
        <v>41768</v>
      </c>
      <c r="H949" s="10">
        <v>43229</v>
      </c>
      <c r="I949" s="8" t="s">
        <v>1944</v>
      </c>
      <c r="J949" s="8" t="str">
        <f>"Luapula, Mansa"</f>
        <v>Luapula, Mansa</v>
      </c>
    </row>
    <row r="950" spans="1:10" x14ac:dyDescent="0.2">
      <c r="A950" s="1" t="str">
        <f>"19426-HQ-LPL"</f>
        <v>19426-HQ-LPL</v>
      </c>
      <c r="B950" s="5" t="s">
        <v>1943</v>
      </c>
      <c r="C950" s="5" t="s">
        <v>1297</v>
      </c>
      <c r="D950" s="5" t="s">
        <v>1945</v>
      </c>
      <c r="E950" s="5" t="s">
        <v>72</v>
      </c>
      <c r="F950" s="6">
        <v>41631.477777777778</v>
      </c>
      <c r="G950" s="7">
        <v>42128</v>
      </c>
      <c r="H950" s="7">
        <v>42858</v>
      </c>
      <c r="I950" s="5" t="s">
        <v>2303</v>
      </c>
      <c r="J950" s="5" t="str">
        <f>"North Western, Mufumbwe"</f>
        <v>North Western, Mufumbwe</v>
      </c>
    </row>
    <row r="951" spans="1:10" x14ac:dyDescent="0.2">
      <c r="A951" s="2" t="str">
        <f>"19431-HQ-LEL"</f>
        <v>19431-HQ-LEL</v>
      </c>
      <c r="B951" s="8" t="s">
        <v>1943</v>
      </c>
      <c r="C951" s="8" t="s">
        <v>15</v>
      </c>
      <c r="D951" s="8" t="s">
        <v>1946</v>
      </c>
      <c r="E951" s="8" t="s">
        <v>72</v>
      </c>
      <c r="F951" s="9">
        <v>41631.486805555556</v>
      </c>
      <c r="G951" s="10">
        <v>41768</v>
      </c>
      <c r="H951" s="10">
        <v>43229</v>
      </c>
      <c r="I951" s="8" t="s">
        <v>1947</v>
      </c>
      <c r="J951" s="8" t="str">
        <f>"Southern, Mazabuka"</f>
        <v>Southern, Mazabuka</v>
      </c>
    </row>
    <row r="952" spans="1:10" x14ac:dyDescent="0.2">
      <c r="A952" s="1" t="str">
        <f>"19459-HQ-LEL"</f>
        <v>19459-HQ-LEL</v>
      </c>
      <c r="B952" s="5" t="s">
        <v>1948</v>
      </c>
      <c r="C952" s="5" t="s">
        <v>15</v>
      </c>
      <c r="D952" s="5" t="s">
        <v>305</v>
      </c>
      <c r="E952" s="5" t="s">
        <v>13</v>
      </c>
      <c r="F952" s="6">
        <v>41661.445833333331</v>
      </c>
      <c r="G952" s="7">
        <v>41824</v>
      </c>
      <c r="H952" s="7">
        <v>43285</v>
      </c>
      <c r="I952" s="5" t="s">
        <v>1949</v>
      </c>
      <c r="J952" s="5" t="str">
        <f>"Central, Mumbwa; Southern, Itezhi Tezhi"</f>
        <v>Central, Mumbwa; Southern, Itezhi Tezhi</v>
      </c>
    </row>
    <row r="953" spans="1:10" x14ac:dyDescent="0.2">
      <c r="A953" s="2" t="str">
        <f>"19474-HQ-AMR"</f>
        <v>19474-HQ-AMR</v>
      </c>
      <c r="B953" s="8" t="s">
        <v>1950</v>
      </c>
      <c r="C953" s="8" t="s">
        <v>19</v>
      </c>
      <c r="D953" s="8" t="s">
        <v>1951</v>
      </c>
      <c r="E953" s="8" t="s">
        <v>72</v>
      </c>
      <c r="F953" s="9">
        <v>41667.515972222223</v>
      </c>
      <c r="G953" s="10">
        <v>42017</v>
      </c>
      <c r="H953" s="10">
        <v>42747</v>
      </c>
      <c r="I953" s="8" t="s">
        <v>1952</v>
      </c>
      <c r="J953" s="8" t="str">
        <f>"Northern, Isoka"</f>
        <v>Northern, Isoka</v>
      </c>
    </row>
    <row r="954" spans="1:10" x14ac:dyDescent="0.2">
      <c r="A954" s="1" t="str">
        <f>"19475-HQ-LEL"</f>
        <v>19475-HQ-LEL</v>
      </c>
      <c r="B954" s="5" t="s">
        <v>402</v>
      </c>
      <c r="C954" s="5" t="s">
        <v>15</v>
      </c>
      <c r="D954" s="5" t="s">
        <v>1953</v>
      </c>
      <c r="E954" s="5" t="s">
        <v>13</v>
      </c>
      <c r="F954" s="6">
        <v>41668.463194444441</v>
      </c>
      <c r="G954" s="7">
        <v>41830</v>
      </c>
      <c r="H954" s="7">
        <v>43291</v>
      </c>
      <c r="I954" s="5" t="s">
        <v>1954</v>
      </c>
      <c r="J954" s="5" t="str">
        <f>"North Western, Mwinilunga"</f>
        <v>North Western, Mwinilunga</v>
      </c>
    </row>
    <row r="955" spans="1:10" x14ac:dyDescent="0.2">
      <c r="A955" s="2" t="str">
        <f>"19485-HQ-LEL"</f>
        <v>19485-HQ-LEL</v>
      </c>
      <c r="B955" s="8" t="s">
        <v>194</v>
      </c>
      <c r="C955" s="8" t="s">
        <v>15</v>
      </c>
      <c r="D955" s="8" t="s">
        <v>1955</v>
      </c>
      <c r="E955" s="8" t="s">
        <v>13</v>
      </c>
      <c r="F955" s="9">
        <v>41673.498611111114</v>
      </c>
      <c r="G955" s="10">
        <v>41995</v>
      </c>
      <c r="H955" s="10">
        <v>43456</v>
      </c>
      <c r="I955" s="8" t="s">
        <v>1956</v>
      </c>
      <c r="J955" s="8" t="str">
        <f>"Central, Mkushi"</f>
        <v>Central, Mkushi</v>
      </c>
    </row>
    <row r="956" spans="1:10" x14ac:dyDescent="0.2">
      <c r="A956" s="1" t="str">
        <f>"19491-HQ-LEL"</f>
        <v>19491-HQ-LEL</v>
      </c>
      <c r="B956" s="5" t="s">
        <v>1423</v>
      </c>
      <c r="C956" s="5" t="s">
        <v>15</v>
      </c>
      <c r="D956" s="5" t="s">
        <v>45</v>
      </c>
      <c r="E956" s="5" t="s">
        <v>13</v>
      </c>
      <c r="F956" s="6">
        <v>41675.484027777777</v>
      </c>
      <c r="G956" s="7">
        <v>41830</v>
      </c>
      <c r="H956" s="7">
        <v>43291</v>
      </c>
      <c r="I956" s="5" t="s">
        <v>2304</v>
      </c>
      <c r="J956" s="5" t="str">
        <f>"Eastern, Chadiza"</f>
        <v>Eastern, Chadiza</v>
      </c>
    </row>
    <row r="957" spans="1:10" x14ac:dyDescent="0.2">
      <c r="A957" s="2" t="str">
        <f>"19495-HQ-LEL"</f>
        <v>19495-HQ-LEL</v>
      </c>
      <c r="B957" s="8" t="s">
        <v>1957</v>
      </c>
      <c r="C957" s="8" t="s">
        <v>15</v>
      </c>
      <c r="D957" s="8" t="s">
        <v>731</v>
      </c>
      <c r="E957" s="8" t="s">
        <v>13</v>
      </c>
      <c r="F957" s="9">
        <v>41675.527777777781</v>
      </c>
      <c r="G957" s="10">
        <v>41801</v>
      </c>
      <c r="H957" s="10">
        <v>43262</v>
      </c>
      <c r="I957" s="8" t="s">
        <v>1958</v>
      </c>
      <c r="J957" s="8" t="str">
        <f>"Southern, Kazungula"</f>
        <v>Southern, Kazungula</v>
      </c>
    </row>
    <row r="958" spans="1:10" x14ac:dyDescent="0.2">
      <c r="A958" s="1" t="str">
        <f>"19496-HQ-LEL"</f>
        <v>19496-HQ-LEL</v>
      </c>
      <c r="B958" s="5" t="s">
        <v>1959</v>
      </c>
      <c r="C958" s="5" t="s">
        <v>15</v>
      </c>
      <c r="D958" s="5" t="s">
        <v>1960</v>
      </c>
      <c r="E958" s="5" t="s">
        <v>13</v>
      </c>
      <c r="F958" s="6">
        <v>41676.453472222223</v>
      </c>
      <c r="G958" s="7">
        <v>41859</v>
      </c>
      <c r="H958" s="7">
        <v>43320</v>
      </c>
      <c r="I958" s="5" t="s">
        <v>1961</v>
      </c>
      <c r="J958" s="5" t="str">
        <f>"Central, Chibombo, Kabwe, Kapiri Mposhi"</f>
        <v>Central, Chibombo, Kabwe, Kapiri Mposhi</v>
      </c>
    </row>
    <row r="959" spans="1:10" x14ac:dyDescent="0.2">
      <c r="A959" s="2" t="str">
        <f>"19522-HQ-LEL"</f>
        <v>19522-HQ-LEL</v>
      </c>
      <c r="B959" s="8" t="s">
        <v>1962</v>
      </c>
      <c r="C959" s="8" t="s">
        <v>15</v>
      </c>
      <c r="D959" s="8" t="s">
        <v>1963</v>
      </c>
      <c r="E959" s="8" t="s">
        <v>72</v>
      </c>
      <c r="F959" s="9">
        <v>41684.385416666664</v>
      </c>
      <c r="G959" s="10">
        <v>41813</v>
      </c>
      <c r="H959" s="10">
        <v>43273</v>
      </c>
      <c r="I959" s="8" t="s">
        <v>2305</v>
      </c>
      <c r="J959" s="8" t="str">
        <f>"Southern, Choma"</f>
        <v>Southern, Choma</v>
      </c>
    </row>
    <row r="960" spans="1:10" x14ac:dyDescent="0.2">
      <c r="A960" s="1" t="str">
        <f>"19540-HQ-LEL"</f>
        <v>19540-HQ-LEL</v>
      </c>
      <c r="B960" s="5" t="s">
        <v>1964</v>
      </c>
      <c r="C960" s="5" t="s">
        <v>15</v>
      </c>
      <c r="D960" s="5" t="s">
        <v>167</v>
      </c>
      <c r="E960" s="5" t="s">
        <v>13</v>
      </c>
      <c r="F960" s="6">
        <v>41691.51666666667</v>
      </c>
      <c r="G960" s="7">
        <v>41865</v>
      </c>
      <c r="H960" s="7">
        <v>43326</v>
      </c>
      <c r="I960" s="5" t="s">
        <v>1965</v>
      </c>
      <c r="J960" s="5" t="str">
        <f>"Central, Mkushi"</f>
        <v>Central, Mkushi</v>
      </c>
    </row>
    <row r="961" spans="1:10" x14ac:dyDescent="0.2">
      <c r="A961" s="2" t="str">
        <f>"19544-HQ-LEL"</f>
        <v>19544-HQ-LEL</v>
      </c>
      <c r="B961" s="8" t="s">
        <v>1966</v>
      </c>
      <c r="C961" s="8" t="s">
        <v>15</v>
      </c>
      <c r="D961" s="8" t="s">
        <v>1967</v>
      </c>
      <c r="E961" s="8" t="s">
        <v>72</v>
      </c>
      <c r="F961" s="9">
        <v>41694.4375</v>
      </c>
      <c r="G961" s="10">
        <v>41836</v>
      </c>
      <c r="H961" s="10">
        <v>43297</v>
      </c>
      <c r="I961" s="8" t="s">
        <v>1968</v>
      </c>
      <c r="J961" s="8" t="str">
        <f>"Central, Chibombo, Kabwe"</f>
        <v>Central, Chibombo, Kabwe</v>
      </c>
    </row>
    <row r="962" spans="1:10" x14ac:dyDescent="0.2">
      <c r="A962" s="1" t="str">
        <f>"19568-HQ-LEL"</f>
        <v>19568-HQ-LEL</v>
      </c>
      <c r="B962" s="5" t="s">
        <v>697</v>
      </c>
      <c r="C962" s="5" t="s">
        <v>15</v>
      </c>
      <c r="D962" s="5" t="s">
        <v>1969</v>
      </c>
      <c r="E962" s="5" t="s">
        <v>72</v>
      </c>
      <c r="F962" s="6">
        <v>41704.510416666664</v>
      </c>
      <c r="G962" s="7">
        <v>41788</v>
      </c>
      <c r="H962" s="7">
        <v>43248</v>
      </c>
      <c r="I962" s="5" t="s">
        <v>1970</v>
      </c>
      <c r="J962" s="5" t="str">
        <f>"Southern, Sinazongwe"</f>
        <v>Southern, Sinazongwe</v>
      </c>
    </row>
    <row r="963" spans="1:10" x14ac:dyDescent="0.2">
      <c r="A963" s="2" t="str">
        <f>"19586-HQ-LEL"</f>
        <v>19586-HQ-LEL</v>
      </c>
      <c r="B963" s="8" t="s">
        <v>93</v>
      </c>
      <c r="C963" s="8" t="s">
        <v>15</v>
      </c>
      <c r="D963" s="8" t="s">
        <v>156</v>
      </c>
      <c r="E963" s="8" t="s">
        <v>13</v>
      </c>
      <c r="F963" s="9">
        <v>41722.426388888889</v>
      </c>
      <c r="G963" s="10">
        <v>41866</v>
      </c>
      <c r="H963" s="10">
        <v>43327</v>
      </c>
      <c r="I963" s="8" t="s">
        <v>1971</v>
      </c>
      <c r="J963" s="8" t="str">
        <f>"Central, Kapiri Mposhi"</f>
        <v>Central, Kapiri Mposhi</v>
      </c>
    </row>
    <row r="964" spans="1:10" x14ac:dyDescent="0.2">
      <c r="A964" s="1" t="str">
        <f>"19590-HQ-LEL"</f>
        <v>19590-HQ-LEL</v>
      </c>
      <c r="B964" s="5" t="s">
        <v>890</v>
      </c>
      <c r="C964" s="5" t="s">
        <v>15</v>
      </c>
      <c r="D964" s="5" t="s">
        <v>1960</v>
      </c>
      <c r="E964" s="5" t="s">
        <v>55</v>
      </c>
      <c r="F964" s="6">
        <v>41723.45208333333</v>
      </c>
      <c r="G964" s="7">
        <v>41778</v>
      </c>
      <c r="H964" s="7">
        <v>43238</v>
      </c>
      <c r="I964" s="5" t="s">
        <v>1972</v>
      </c>
      <c r="J964" s="5" t="str">
        <f>"Central, Chibombo"</f>
        <v>Central, Chibombo</v>
      </c>
    </row>
    <row r="965" spans="1:10" x14ac:dyDescent="0.2">
      <c r="A965" s="2" t="str">
        <f>"19632-HQ-LEL"</f>
        <v>19632-HQ-LEL</v>
      </c>
      <c r="B965" s="8" t="s">
        <v>1973</v>
      </c>
      <c r="C965" s="8" t="s">
        <v>15</v>
      </c>
      <c r="D965" s="8" t="s">
        <v>1945</v>
      </c>
      <c r="E965" s="8" t="s">
        <v>13</v>
      </c>
      <c r="F965" s="9">
        <v>41736.436805555553</v>
      </c>
      <c r="G965" s="10">
        <v>41869</v>
      </c>
      <c r="H965" s="10">
        <v>43329</v>
      </c>
      <c r="I965" s="8" t="s">
        <v>1974</v>
      </c>
      <c r="J965" s="8" t="str">
        <f>"North Western, Mufumbwe"</f>
        <v>North Western, Mufumbwe</v>
      </c>
    </row>
    <row r="966" spans="1:10" x14ac:dyDescent="0.2">
      <c r="A966" s="1" t="str">
        <f>"19653-HQ-LEL"</f>
        <v>19653-HQ-LEL</v>
      </c>
      <c r="B966" s="5" t="s">
        <v>1975</v>
      </c>
      <c r="C966" s="5" t="s">
        <v>15</v>
      </c>
      <c r="D966" s="5" t="s">
        <v>1976</v>
      </c>
      <c r="E966" s="5" t="s">
        <v>13</v>
      </c>
      <c r="F966" s="6">
        <v>41746.484027777777</v>
      </c>
      <c r="G966" s="7">
        <v>41865</v>
      </c>
      <c r="H966" s="7">
        <v>43325</v>
      </c>
      <c r="I966" s="5" t="s">
        <v>2306</v>
      </c>
      <c r="J966" s="5" t="str">
        <f>"Central, Chibombo, Chongwe; Lusaka, Chongwe"</f>
        <v>Central, Chibombo, Chongwe; Lusaka, Chongwe</v>
      </c>
    </row>
    <row r="967" spans="1:10" x14ac:dyDescent="0.2">
      <c r="A967" s="2" t="str">
        <f>"19689-HQ-LEL"</f>
        <v>19689-HQ-LEL</v>
      </c>
      <c r="B967" s="8" t="s">
        <v>1977</v>
      </c>
      <c r="C967" s="8" t="s">
        <v>15</v>
      </c>
      <c r="D967" s="8" t="s">
        <v>541</v>
      </c>
      <c r="E967" s="8" t="s">
        <v>13</v>
      </c>
      <c r="F967" s="9">
        <v>41772.45208333333</v>
      </c>
      <c r="G967" s="10">
        <v>41841</v>
      </c>
      <c r="H967" s="10">
        <v>43301</v>
      </c>
      <c r="I967" s="8" t="s">
        <v>2307</v>
      </c>
      <c r="J967" s="8" t="str">
        <f>"Lusaka, Kafue, Lusaka"</f>
        <v>Lusaka, Kafue, Lusaka</v>
      </c>
    </row>
    <row r="968" spans="1:10" x14ac:dyDescent="0.2">
      <c r="A968" s="1" t="str">
        <f>"19701-HQ-LEL"</f>
        <v>19701-HQ-LEL</v>
      </c>
      <c r="B968" s="5" t="s">
        <v>1978</v>
      </c>
      <c r="C968" s="5" t="s">
        <v>15</v>
      </c>
      <c r="D968" s="5" t="s">
        <v>1979</v>
      </c>
      <c r="E968" s="5" t="s">
        <v>13</v>
      </c>
      <c r="F968" s="6">
        <v>41778.42083333333</v>
      </c>
      <c r="G968" s="7">
        <v>41837</v>
      </c>
      <c r="H968" s="7">
        <v>43298</v>
      </c>
      <c r="I968" s="5" t="s">
        <v>1980</v>
      </c>
      <c r="J968" s="5" t="str">
        <f>"Central, Kapiri Mposhi, Mkushi"</f>
        <v>Central, Kapiri Mposhi, Mkushi</v>
      </c>
    </row>
    <row r="969" spans="1:10" x14ac:dyDescent="0.2">
      <c r="A969" s="2" t="str">
        <f>"19711-HQ-LEL"</f>
        <v>19711-HQ-LEL</v>
      </c>
      <c r="B969" s="8" t="s">
        <v>1973</v>
      </c>
      <c r="C969" s="8" t="s">
        <v>15</v>
      </c>
      <c r="D969" s="8" t="s">
        <v>1981</v>
      </c>
      <c r="E969" s="8" t="s">
        <v>13</v>
      </c>
      <c r="F969" s="9">
        <v>41782.408333333333</v>
      </c>
      <c r="G969" s="10">
        <v>41843</v>
      </c>
      <c r="H969" s="10">
        <v>43303</v>
      </c>
      <c r="I969" s="8" t="s">
        <v>1982</v>
      </c>
      <c r="J969" s="8" t="str">
        <f>"North Western, Kasempa, Solwezi"</f>
        <v>North Western, Kasempa, Solwezi</v>
      </c>
    </row>
    <row r="970" spans="1:10" x14ac:dyDescent="0.2">
      <c r="A970" s="1" t="str">
        <f>" 19712-HQ-LEL"</f>
        <v xml:space="preserve"> 19712-HQ-LEL</v>
      </c>
      <c r="B970" s="5" t="s">
        <v>1983</v>
      </c>
      <c r="C970" s="5" t="s">
        <v>15</v>
      </c>
      <c r="D970" s="5" t="s">
        <v>1984</v>
      </c>
      <c r="E970" s="5" t="s">
        <v>489</v>
      </c>
      <c r="F970" s="6">
        <v>41782.427083333336</v>
      </c>
      <c r="G970" s="7">
        <v>41901</v>
      </c>
      <c r="H970" s="7">
        <v>43361</v>
      </c>
      <c r="I970" s="5" t="s">
        <v>1985</v>
      </c>
      <c r="J970" s="5" t="str">
        <f>"North Western, Solwezi"</f>
        <v>North Western, Solwezi</v>
      </c>
    </row>
    <row r="971" spans="1:10" x14ac:dyDescent="0.2">
      <c r="A971" s="2" t="str">
        <f>"19716-HQ-LEL"</f>
        <v>19716-HQ-LEL</v>
      </c>
      <c r="B971" s="8" t="s">
        <v>1983</v>
      </c>
      <c r="C971" s="8" t="s">
        <v>15</v>
      </c>
      <c r="D971" s="8" t="s">
        <v>1986</v>
      </c>
      <c r="E971" s="8" t="s">
        <v>13</v>
      </c>
      <c r="F971" s="9">
        <v>41786.46875</v>
      </c>
      <c r="G971" s="10">
        <v>41901</v>
      </c>
      <c r="H971" s="10">
        <v>43362</v>
      </c>
      <c r="I971" s="8" t="s">
        <v>2308</v>
      </c>
      <c r="J971" s="8" t="str">
        <f>"Central, Kapiri Mposhi"</f>
        <v>Central, Kapiri Mposhi</v>
      </c>
    </row>
    <row r="972" spans="1:10" x14ac:dyDescent="0.2">
      <c r="A972" s="1" t="str">
        <f>"19719-HQ-LPL"</f>
        <v>19719-HQ-LPL</v>
      </c>
      <c r="B972" s="5" t="s">
        <v>1987</v>
      </c>
      <c r="C972" s="5" t="s">
        <v>1297</v>
      </c>
      <c r="D972" s="5" t="s">
        <v>1988</v>
      </c>
      <c r="E972" s="5" t="s">
        <v>72</v>
      </c>
      <c r="F972" s="6">
        <v>41787.515972222223</v>
      </c>
      <c r="G972" s="7">
        <v>42020</v>
      </c>
      <c r="H972" s="7">
        <v>42750</v>
      </c>
      <c r="I972" s="5" t="s">
        <v>1989</v>
      </c>
      <c r="J972" s="5" t="str">
        <f>"Lusaka, Kafue"</f>
        <v>Lusaka, Kafue</v>
      </c>
    </row>
    <row r="973" spans="1:10" x14ac:dyDescent="0.2">
      <c r="A973" s="2" t="str">
        <f>"19722-HQ-AMR"</f>
        <v>19722-HQ-AMR</v>
      </c>
      <c r="B973" s="8" t="s">
        <v>1990</v>
      </c>
      <c r="C973" s="8" t="s">
        <v>19</v>
      </c>
      <c r="D973" s="8" t="s">
        <v>1991</v>
      </c>
      <c r="E973" s="8" t="s">
        <v>72</v>
      </c>
      <c r="F973" s="9">
        <v>41788.393750000003</v>
      </c>
      <c r="G973" s="10">
        <v>42198</v>
      </c>
      <c r="H973" s="10">
        <v>42928</v>
      </c>
      <c r="I973" s="8" t="s">
        <v>2309</v>
      </c>
      <c r="J973" s="8" t="str">
        <f>"Central, Mkushi"</f>
        <v>Central, Mkushi</v>
      </c>
    </row>
    <row r="974" spans="1:10" x14ac:dyDescent="0.2">
      <c r="A974" s="1" t="str">
        <f>"19728-HQ-LEL"</f>
        <v>19728-HQ-LEL</v>
      </c>
      <c r="B974" s="5" t="s">
        <v>494</v>
      </c>
      <c r="C974" s="5" t="s">
        <v>15</v>
      </c>
      <c r="D974" s="5" t="s">
        <v>1992</v>
      </c>
      <c r="E974" s="5" t="s">
        <v>13</v>
      </c>
      <c r="F974" s="6">
        <v>41789.520833333336</v>
      </c>
      <c r="G974" s="7">
        <v>41893</v>
      </c>
      <c r="H974" s="7">
        <v>43353</v>
      </c>
      <c r="I974" s="5" t="s">
        <v>2310</v>
      </c>
      <c r="J974" s="5" t="str">
        <f>"Luapula, Mwense"</f>
        <v>Luapula, Mwense</v>
      </c>
    </row>
    <row r="975" spans="1:10" x14ac:dyDescent="0.2">
      <c r="A975" s="2" t="str">
        <f>"19746-HQ-LPL"</f>
        <v>19746-HQ-LPL</v>
      </c>
      <c r="B975" s="8" t="s">
        <v>1993</v>
      </c>
      <c r="C975" s="8" t="s">
        <v>1297</v>
      </c>
      <c r="D975" s="8" t="s">
        <v>58</v>
      </c>
      <c r="E975" s="8" t="s">
        <v>72</v>
      </c>
      <c r="F975" s="9">
        <v>41799.383333333331</v>
      </c>
      <c r="G975" s="10">
        <v>42153</v>
      </c>
      <c r="H975" s="10">
        <v>42883</v>
      </c>
      <c r="I975" s="8" t="s">
        <v>1994</v>
      </c>
      <c r="J975" s="8" t="str">
        <f>"Northern, Chilubi, Luwingu"</f>
        <v>Northern, Chilubi, Luwingu</v>
      </c>
    </row>
    <row r="976" spans="1:10" x14ac:dyDescent="0.2">
      <c r="A976" s="1" t="str">
        <f>" 19760-HQ-LEL"</f>
        <v xml:space="preserve"> 19760-HQ-LEL</v>
      </c>
      <c r="B976" s="5" t="s">
        <v>1995</v>
      </c>
      <c r="C976" s="5" t="s">
        <v>15</v>
      </c>
      <c r="D976" s="5" t="s">
        <v>1996</v>
      </c>
      <c r="E976" s="5" t="s">
        <v>72</v>
      </c>
      <c r="F976" s="6">
        <v>41802.515277777777</v>
      </c>
      <c r="G976" s="7">
        <v>41858</v>
      </c>
      <c r="H976" s="7">
        <v>43319</v>
      </c>
      <c r="I976" s="5" t="s">
        <v>1997</v>
      </c>
      <c r="J976" s="5" t="str">
        <f>"North Western, Kasempa"</f>
        <v>North Western, Kasempa</v>
      </c>
    </row>
    <row r="977" spans="1:10" x14ac:dyDescent="0.2">
      <c r="A977" s="2" t="str">
        <f>" 19763-HQ-LEL"</f>
        <v xml:space="preserve"> 19763-HQ-LEL</v>
      </c>
      <c r="B977" s="8" t="s">
        <v>432</v>
      </c>
      <c r="C977" s="8" t="s">
        <v>15</v>
      </c>
      <c r="D977" s="8" t="s">
        <v>541</v>
      </c>
      <c r="E977" s="8" t="s">
        <v>13</v>
      </c>
      <c r="F977" s="9">
        <v>41803.472916666666</v>
      </c>
      <c r="G977" s="10">
        <v>41859</v>
      </c>
      <c r="H977" s="10">
        <v>43319</v>
      </c>
      <c r="I977" s="8" t="s">
        <v>1998</v>
      </c>
      <c r="J977" s="8" t="str">
        <f>"Lusaka, Chongwe, Kafue"</f>
        <v>Lusaka, Chongwe, Kafue</v>
      </c>
    </row>
    <row r="978" spans="1:10" ht="22.5" x14ac:dyDescent="0.2">
      <c r="A978" s="1" t="str">
        <f>"19768-HQ-LEL"</f>
        <v>19768-HQ-LEL</v>
      </c>
      <c r="B978" s="5" t="s">
        <v>1999</v>
      </c>
      <c r="C978" s="5" t="s">
        <v>15</v>
      </c>
      <c r="D978" s="5" t="s">
        <v>105</v>
      </c>
      <c r="E978" s="5" t="s">
        <v>2000</v>
      </c>
      <c r="F978" s="6">
        <v>41806.399305555555</v>
      </c>
      <c r="G978" s="7">
        <v>41893</v>
      </c>
      <c r="H978" s="7">
        <v>43353</v>
      </c>
      <c r="I978" s="5" t="s">
        <v>2311</v>
      </c>
      <c r="J978" s="5" t="str">
        <f>"Northern, Chinsali, Isoka, Nakonde"</f>
        <v>Northern, Chinsali, Isoka, Nakonde</v>
      </c>
    </row>
    <row r="979" spans="1:10" x14ac:dyDescent="0.2">
      <c r="A979" s="2" t="str">
        <f>"19776-HQ-LEL"</f>
        <v>19776-HQ-LEL</v>
      </c>
      <c r="B979" s="8" t="s">
        <v>2001</v>
      </c>
      <c r="C979" s="8" t="s">
        <v>15</v>
      </c>
      <c r="D979" s="8" t="s">
        <v>58</v>
      </c>
      <c r="E979" s="8" t="s">
        <v>13</v>
      </c>
      <c r="F979" s="9">
        <v>41808.484027777777</v>
      </c>
      <c r="G979" s="10">
        <v>41929</v>
      </c>
      <c r="H979" s="10">
        <v>43390</v>
      </c>
      <c r="I979" s="8" t="s">
        <v>2312</v>
      </c>
      <c r="J979" s="8" t="str">
        <f>"North Western, Mufumbwe"</f>
        <v>North Western, Mufumbwe</v>
      </c>
    </row>
    <row r="980" spans="1:10" x14ac:dyDescent="0.2">
      <c r="A980" s="1" t="str">
        <f>"19784-HQ-LEL"</f>
        <v>19784-HQ-LEL</v>
      </c>
      <c r="B980" s="5" t="s">
        <v>2002</v>
      </c>
      <c r="C980" s="5" t="s">
        <v>15</v>
      </c>
      <c r="D980" s="5" t="s">
        <v>2003</v>
      </c>
      <c r="E980" s="5" t="s">
        <v>13</v>
      </c>
      <c r="F980" s="6">
        <v>41809.402777777781</v>
      </c>
      <c r="G980" s="7">
        <v>41857</v>
      </c>
      <c r="H980" s="7">
        <v>43318</v>
      </c>
      <c r="I980" s="5" t="s">
        <v>2313</v>
      </c>
      <c r="J980" s="5" t="str">
        <f>"North Western, Solwezi"</f>
        <v>North Western, Solwezi</v>
      </c>
    </row>
    <row r="981" spans="1:10" x14ac:dyDescent="0.2">
      <c r="A981" s="2" t="str">
        <f>"19787-HQ-LEL"</f>
        <v>19787-HQ-LEL</v>
      </c>
      <c r="B981" s="8" t="s">
        <v>2002</v>
      </c>
      <c r="C981" s="8" t="s">
        <v>15</v>
      </c>
      <c r="D981" s="8" t="s">
        <v>2003</v>
      </c>
      <c r="E981" s="8" t="s">
        <v>13</v>
      </c>
      <c r="F981" s="9">
        <v>41810.394444444442</v>
      </c>
      <c r="G981" s="10">
        <v>41824</v>
      </c>
      <c r="H981" s="10">
        <v>43285</v>
      </c>
      <c r="I981" s="8" t="s">
        <v>2314</v>
      </c>
      <c r="J981" s="8" t="str">
        <f>"North Western, Solwezi"</f>
        <v>North Western, Solwezi</v>
      </c>
    </row>
    <row r="982" spans="1:10" x14ac:dyDescent="0.2">
      <c r="A982" s="1" t="str">
        <f>"19800-HQ-LEL"</f>
        <v>19800-HQ-LEL</v>
      </c>
      <c r="B982" s="5" t="s">
        <v>2004</v>
      </c>
      <c r="C982" s="5" t="s">
        <v>15</v>
      </c>
      <c r="D982" s="5" t="s">
        <v>2005</v>
      </c>
      <c r="E982" s="5" t="s">
        <v>13</v>
      </c>
      <c r="F982" s="6">
        <v>41817.37777777778</v>
      </c>
      <c r="G982" s="7">
        <v>42058</v>
      </c>
      <c r="H982" s="7">
        <v>42788</v>
      </c>
      <c r="I982" s="5" t="s">
        <v>2006</v>
      </c>
      <c r="J982" s="5" t="str">
        <f>"Southern, Gwembe, Siavonga"</f>
        <v>Southern, Gwembe, Siavonga</v>
      </c>
    </row>
    <row r="983" spans="1:10" x14ac:dyDescent="0.2">
      <c r="A983" s="2" t="str">
        <f>"19804-HQ-LEL"</f>
        <v>19804-HQ-LEL</v>
      </c>
      <c r="B983" s="8" t="s">
        <v>542</v>
      </c>
      <c r="C983" s="8" t="s">
        <v>15</v>
      </c>
      <c r="D983" s="8" t="s">
        <v>2007</v>
      </c>
      <c r="E983" s="8" t="s">
        <v>72</v>
      </c>
      <c r="F983" s="9">
        <v>41817.460416666669</v>
      </c>
      <c r="G983" s="10">
        <v>41893</v>
      </c>
      <c r="H983" s="10">
        <v>43353</v>
      </c>
      <c r="I983" s="8" t="s">
        <v>2008</v>
      </c>
      <c r="J983" s="8" t="str">
        <f>"North Western, Mufumbwe"</f>
        <v>North Western, Mufumbwe</v>
      </c>
    </row>
    <row r="984" spans="1:10" x14ac:dyDescent="0.2">
      <c r="A984" s="1" t="str">
        <f>"19806-HQ-LEL"</f>
        <v>19806-HQ-LEL</v>
      </c>
      <c r="B984" s="5" t="s">
        <v>1983</v>
      </c>
      <c r="C984" s="5" t="s">
        <v>15</v>
      </c>
      <c r="D984" s="5" t="s">
        <v>1984</v>
      </c>
      <c r="E984" s="5" t="s">
        <v>13</v>
      </c>
      <c r="F984" s="6">
        <v>41820.411111111112</v>
      </c>
      <c r="G984" s="7">
        <v>41901</v>
      </c>
      <c r="H984" s="7">
        <v>43361</v>
      </c>
      <c r="I984" s="5" t="s">
        <v>2009</v>
      </c>
      <c r="J984" s="5" t="str">
        <f>"North Western, Solwezi"</f>
        <v>North Western, Solwezi</v>
      </c>
    </row>
    <row r="985" spans="1:10" x14ac:dyDescent="0.2">
      <c r="A985" s="2" t="str">
        <f>"19808-HQ-LEL"</f>
        <v>19808-HQ-LEL</v>
      </c>
      <c r="B985" s="8" t="s">
        <v>2010</v>
      </c>
      <c r="C985" s="8" t="s">
        <v>15</v>
      </c>
      <c r="D985" s="8" t="s">
        <v>2011</v>
      </c>
      <c r="E985" s="8" t="s">
        <v>13</v>
      </c>
      <c r="F985" s="9">
        <v>41820.511805555558</v>
      </c>
      <c r="G985" s="10">
        <v>41978</v>
      </c>
      <c r="H985" s="10">
        <v>43438</v>
      </c>
      <c r="I985" s="8" t="s">
        <v>2012</v>
      </c>
      <c r="J985" s="8" t="str">
        <f>"Luapula"</f>
        <v>Luapula</v>
      </c>
    </row>
    <row r="986" spans="1:10" x14ac:dyDescent="0.2">
      <c r="A986" s="1" t="str">
        <f>"19816-HQ-LEL"</f>
        <v>19816-HQ-LEL</v>
      </c>
      <c r="B986" s="5" t="s">
        <v>2013</v>
      </c>
      <c r="C986" s="5" t="s">
        <v>15</v>
      </c>
      <c r="D986" s="5" t="s">
        <v>2014</v>
      </c>
      <c r="E986" s="5" t="s">
        <v>13</v>
      </c>
      <c r="F986" s="6">
        <v>41822.509722222225</v>
      </c>
      <c r="G986" s="7">
        <v>41869</v>
      </c>
      <c r="H986" s="7">
        <v>43330</v>
      </c>
      <c r="I986" s="5" t="s">
        <v>2015</v>
      </c>
      <c r="J986" s="5" t="str">
        <f>"North Western, Solwezi"</f>
        <v>North Western, Solwezi</v>
      </c>
    </row>
    <row r="987" spans="1:10" ht="22.5" x14ac:dyDescent="0.2">
      <c r="A987" s="2" t="str">
        <f>"19844-HQ-LEL"</f>
        <v>19844-HQ-LEL</v>
      </c>
      <c r="B987" s="8" t="s">
        <v>2016</v>
      </c>
      <c r="C987" s="8" t="s">
        <v>15</v>
      </c>
      <c r="D987" s="8" t="s">
        <v>1338</v>
      </c>
      <c r="E987" s="8" t="s">
        <v>489</v>
      </c>
      <c r="F987" s="9">
        <v>41838.40902777778</v>
      </c>
      <c r="G987" s="10">
        <v>41865</v>
      </c>
      <c r="H987" s="10">
        <v>43325</v>
      </c>
      <c r="I987" s="8" t="s">
        <v>2017</v>
      </c>
      <c r="J987" s="8" t="str">
        <f>""</f>
        <v/>
      </c>
    </row>
    <row r="988" spans="1:10" x14ac:dyDescent="0.2">
      <c r="A988" s="1" t="str">
        <f>"19846-HQ-LEL"</f>
        <v>19846-HQ-LEL</v>
      </c>
      <c r="B988" s="5" t="s">
        <v>2010</v>
      </c>
      <c r="C988" s="5" t="s">
        <v>15</v>
      </c>
      <c r="D988" s="5" t="s">
        <v>105</v>
      </c>
      <c r="E988" s="5" t="s">
        <v>13</v>
      </c>
      <c r="F988" s="6">
        <v>41838.425694444442</v>
      </c>
      <c r="G988" s="7">
        <v>41865</v>
      </c>
      <c r="H988" s="7">
        <v>43326</v>
      </c>
      <c r="I988" s="5" t="s">
        <v>2018</v>
      </c>
      <c r="J988" s="5" t="str">
        <f>"Luapula"</f>
        <v>Luapula</v>
      </c>
    </row>
    <row r="989" spans="1:10" x14ac:dyDescent="0.2">
      <c r="A989" s="2" t="str">
        <f>"19864-HQ-LEL"</f>
        <v>19864-HQ-LEL</v>
      </c>
      <c r="B989" s="8" t="s">
        <v>2019</v>
      </c>
      <c r="C989" s="8" t="s">
        <v>15</v>
      </c>
      <c r="D989" s="8" t="s">
        <v>74</v>
      </c>
      <c r="E989" s="8" t="s">
        <v>13</v>
      </c>
      <c r="F989" s="9">
        <v>41845.479861111111</v>
      </c>
      <c r="G989" s="10">
        <v>41859</v>
      </c>
      <c r="H989" s="10">
        <v>43320</v>
      </c>
      <c r="I989" s="8" t="s">
        <v>2020</v>
      </c>
      <c r="J989" s="8" t="str">
        <f>"Southern, Mazabuka"</f>
        <v>Southern, Mazabuka</v>
      </c>
    </row>
    <row r="990" spans="1:10" x14ac:dyDescent="0.2">
      <c r="A990" s="1" t="str">
        <f>"19877-HQ-LEL"</f>
        <v>19877-HQ-LEL</v>
      </c>
      <c r="B990" s="5" t="s">
        <v>2021</v>
      </c>
      <c r="C990" s="5" t="s">
        <v>15</v>
      </c>
      <c r="D990" s="5" t="s">
        <v>2022</v>
      </c>
      <c r="E990" s="5" t="s">
        <v>13</v>
      </c>
      <c r="F990" s="6">
        <v>41851.428472222222</v>
      </c>
      <c r="G990" s="7">
        <v>41908</v>
      </c>
      <c r="H990" s="7">
        <v>43369</v>
      </c>
      <c r="I990" s="5" t="s">
        <v>2023</v>
      </c>
      <c r="J990" s="5" t="str">
        <f>"Central, Serenje; Northern, Mpika"</f>
        <v>Central, Serenje; Northern, Mpika</v>
      </c>
    </row>
    <row r="991" spans="1:10" x14ac:dyDescent="0.2">
      <c r="A991" s="2" t="str">
        <f>" 19880-HQ-LEL"</f>
        <v xml:space="preserve"> 19880-HQ-LEL</v>
      </c>
      <c r="B991" s="8" t="s">
        <v>2024</v>
      </c>
      <c r="C991" s="8" t="s">
        <v>15</v>
      </c>
      <c r="D991" s="8" t="s">
        <v>308</v>
      </c>
      <c r="E991" s="8" t="s">
        <v>72</v>
      </c>
      <c r="F991" s="9">
        <v>41851.506249999999</v>
      </c>
      <c r="G991" s="10">
        <v>41928</v>
      </c>
      <c r="H991" s="10">
        <v>43389</v>
      </c>
      <c r="I991" s="8" t="s">
        <v>2025</v>
      </c>
      <c r="J991" s="8" t="str">
        <f>"North Western, Mwinilunga, Solwezi"</f>
        <v>North Western, Mwinilunga, Solwezi</v>
      </c>
    </row>
    <row r="992" spans="1:10" x14ac:dyDescent="0.2">
      <c r="A992" s="1" t="str">
        <f>"19885-HQ-LPL"</f>
        <v>19885-HQ-LPL</v>
      </c>
      <c r="B992" s="5" t="s">
        <v>2026</v>
      </c>
      <c r="C992" s="5" t="s">
        <v>1297</v>
      </c>
      <c r="D992" s="5" t="s">
        <v>2027</v>
      </c>
      <c r="E992" s="5" t="s">
        <v>72</v>
      </c>
      <c r="F992" s="6">
        <v>41852.46875</v>
      </c>
      <c r="G992" s="7">
        <v>42081</v>
      </c>
      <c r="H992" s="7">
        <v>42811</v>
      </c>
      <c r="I992" s="5" t="s">
        <v>2028</v>
      </c>
      <c r="J992" s="5" t="str">
        <f>"North Western, Mwinilunga, Solwezi"</f>
        <v>North Western, Mwinilunga, Solwezi</v>
      </c>
    </row>
    <row r="993" spans="1:10" x14ac:dyDescent="0.2">
      <c r="A993" s="2" t="str">
        <f>"19889-HQ-LEL"</f>
        <v>19889-HQ-LEL</v>
      </c>
      <c r="B993" s="8" t="s">
        <v>2029</v>
      </c>
      <c r="C993" s="8" t="s">
        <v>15</v>
      </c>
      <c r="D993" s="8" t="s">
        <v>541</v>
      </c>
      <c r="E993" s="8" t="s">
        <v>13</v>
      </c>
      <c r="F993" s="9">
        <v>41852.52847222222</v>
      </c>
      <c r="G993" s="10">
        <v>41898</v>
      </c>
      <c r="H993" s="10">
        <v>43359</v>
      </c>
      <c r="I993" s="8" t="s">
        <v>2030</v>
      </c>
      <c r="J993" s="8" t="str">
        <f>"Lusaka, Chongwe"</f>
        <v>Lusaka, Chongwe</v>
      </c>
    </row>
    <row r="994" spans="1:10" x14ac:dyDescent="0.2">
      <c r="A994" s="1" t="str">
        <f>"19894-HQ-LEL"</f>
        <v>19894-HQ-LEL</v>
      </c>
      <c r="B994" s="5" t="s">
        <v>432</v>
      </c>
      <c r="C994" s="5" t="s">
        <v>15</v>
      </c>
      <c r="D994" s="5" t="s">
        <v>102</v>
      </c>
      <c r="E994" s="5" t="s">
        <v>72</v>
      </c>
      <c r="F994" s="6">
        <v>41857.662499999999</v>
      </c>
      <c r="G994" s="7">
        <v>41949</v>
      </c>
      <c r="H994" s="7">
        <v>43410</v>
      </c>
      <c r="I994" s="5" t="s">
        <v>2031</v>
      </c>
      <c r="J994" s="5" t="str">
        <f>"North Western, Solwezi"</f>
        <v>North Western, Solwezi</v>
      </c>
    </row>
    <row r="995" spans="1:10" x14ac:dyDescent="0.2">
      <c r="A995" s="2" t="str">
        <f>"19895-HQ-LEL"</f>
        <v>19895-HQ-LEL</v>
      </c>
      <c r="B995" s="8" t="s">
        <v>2032</v>
      </c>
      <c r="C995" s="8" t="s">
        <v>15</v>
      </c>
      <c r="D995" s="8" t="s">
        <v>2033</v>
      </c>
      <c r="E995" s="8" t="s">
        <v>72</v>
      </c>
      <c r="F995" s="9">
        <v>41857.509722222225</v>
      </c>
      <c r="G995" s="10">
        <v>41971</v>
      </c>
      <c r="H995" s="10">
        <v>43431</v>
      </c>
      <c r="I995" s="8" t="s">
        <v>2034</v>
      </c>
      <c r="J995" s="8" t="str">
        <f>"North Western, Solwezi"</f>
        <v>North Western, Solwezi</v>
      </c>
    </row>
    <row r="996" spans="1:10" x14ac:dyDescent="0.2">
      <c r="A996" s="1" t="str">
        <f>" 19897-HQ-LEL"</f>
        <v xml:space="preserve"> 19897-HQ-LEL</v>
      </c>
      <c r="B996" s="5" t="s">
        <v>2035</v>
      </c>
      <c r="C996" s="5" t="s">
        <v>15</v>
      </c>
      <c r="D996" s="5" t="s">
        <v>781</v>
      </c>
      <c r="E996" s="5" t="s">
        <v>13</v>
      </c>
      <c r="F996" s="6">
        <v>41858.400694444441</v>
      </c>
      <c r="G996" s="7">
        <v>41953</v>
      </c>
      <c r="H996" s="7">
        <v>43414</v>
      </c>
      <c r="I996" s="5" t="s">
        <v>2036</v>
      </c>
      <c r="J996" s="5" t="str">
        <f>"Luapula, Samfya"</f>
        <v>Luapula, Samfya</v>
      </c>
    </row>
    <row r="997" spans="1:10" x14ac:dyDescent="0.2">
      <c r="A997" s="2" t="str">
        <f>"19898-HQ-LEL"</f>
        <v>19898-HQ-LEL</v>
      </c>
      <c r="B997" s="8" t="s">
        <v>2035</v>
      </c>
      <c r="C997" s="8" t="s">
        <v>15</v>
      </c>
      <c r="D997" s="8" t="s">
        <v>2037</v>
      </c>
      <c r="E997" s="8" t="s">
        <v>13</v>
      </c>
      <c r="F997" s="9">
        <v>41858.405555555553</v>
      </c>
      <c r="G997" s="10">
        <v>41953</v>
      </c>
      <c r="H997" s="10">
        <v>43414</v>
      </c>
      <c r="I997" s="8" t="s">
        <v>2038</v>
      </c>
      <c r="J997" s="8" t="str">
        <f>"Central, Serenje"</f>
        <v>Central, Serenje</v>
      </c>
    </row>
    <row r="998" spans="1:10" x14ac:dyDescent="0.2">
      <c r="A998" s="1" t="str">
        <f>"19901-HQ-AMR"</f>
        <v>19901-HQ-AMR</v>
      </c>
      <c r="B998" s="5" t="s">
        <v>2039</v>
      </c>
      <c r="C998" s="5" t="s">
        <v>19</v>
      </c>
      <c r="D998" s="5" t="s">
        <v>40</v>
      </c>
      <c r="E998" s="5" t="s">
        <v>72</v>
      </c>
      <c r="F998" s="6">
        <v>41863.40347222222</v>
      </c>
      <c r="G998" s="7">
        <v>42109</v>
      </c>
      <c r="H998" s="7">
        <v>42839</v>
      </c>
      <c r="I998" s="5" t="s">
        <v>2040</v>
      </c>
      <c r="J998" s="5" t="str">
        <f>"North Western, Solwezi"</f>
        <v>North Western, Solwezi</v>
      </c>
    </row>
    <row r="999" spans="1:10" x14ac:dyDescent="0.2">
      <c r="A999" s="2" t="str">
        <f>"19906-HQ-LEL"</f>
        <v>19906-HQ-LEL</v>
      </c>
      <c r="B999" s="8" t="s">
        <v>2041</v>
      </c>
      <c r="C999" s="8" t="s">
        <v>15</v>
      </c>
      <c r="D999" s="8" t="s">
        <v>2042</v>
      </c>
      <c r="E999" s="8" t="s">
        <v>489</v>
      </c>
      <c r="F999" s="9">
        <v>41865.517361111109</v>
      </c>
      <c r="G999" s="10">
        <v>41892</v>
      </c>
      <c r="H999" s="10">
        <v>43353</v>
      </c>
      <c r="I999" s="8" t="s">
        <v>2043</v>
      </c>
      <c r="J999" s="8" t="str">
        <f>"North Western, Mwinilunga"</f>
        <v>North Western, Mwinilunga</v>
      </c>
    </row>
    <row r="1000" spans="1:10" x14ac:dyDescent="0.2">
      <c r="A1000" s="1" t="str">
        <f>"19914-HQ-LEL"</f>
        <v>19914-HQ-LEL</v>
      </c>
      <c r="B1000" s="5" t="s">
        <v>2035</v>
      </c>
      <c r="C1000" s="5" t="s">
        <v>15</v>
      </c>
      <c r="D1000" s="5" t="s">
        <v>2037</v>
      </c>
      <c r="E1000" s="5" t="s">
        <v>13</v>
      </c>
      <c r="F1000" s="6">
        <v>41869.438194444447</v>
      </c>
      <c r="G1000" s="7">
        <v>41953</v>
      </c>
      <c r="H1000" s="7">
        <v>43413</v>
      </c>
      <c r="I1000" s="5" t="s">
        <v>2315</v>
      </c>
      <c r="J1000" s="5" t="str">
        <f>"Central, Serenje; Eastern, Nyimba"</f>
        <v>Central, Serenje; Eastern, Nyimba</v>
      </c>
    </row>
    <row r="1001" spans="1:10" x14ac:dyDescent="0.2">
      <c r="A1001" s="2" t="str">
        <f>"19917-HQ-LEL"</f>
        <v>19917-HQ-LEL</v>
      </c>
      <c r="B1001" s="8" t="s">
        <v>2044</v>
      </c>
      <c r="C1001" s="8" t="s">
        <v>15</v>
      </c>
      <c r="D1001" s="8" t="s">
        <v>2045</v>
      </c>
      <c r="E1001" s="8" t="s">
        <v>13</v>
      </c>
      <c r="F1001" s="9">
        <v>41871.400694444441</v>
      </c>
      <c r="G1001" s="10">
        <v>41933</v>
      </c>
      <c r="H1001" s="10">
        <v>43394</v>
      </c>
      <c r="I1001" s="8" t="s">
        <v>2316</v>
      </c>
      <c r="J1001" s="8" t="str">
        <f>"Central, Mumbwa"</f>
        <v>Central, Mumbwa</v>
      </c>
    </row>
    <row r="1002" spans="1:10" x14ac:dyDescent="0.2">
      <c r="A1002" s="1" t="str">
        <f>"19937-HQ-LEL"</f>
        <v>19937-HQ-LEL</v>
      </c>
      <c r="B1002" s="5" t="s">
        <v>2046</v>
      </c>
      <c r="C1002" s="5" t="s">
        <v>15</v>
      </c>
      <c r="D1002" s="5" t="s">
        <v>58</v>
      </c>
      <c r="E1002" s="5" t="s">
        <v>13</v>
      </c>
      <c r="F1002" s="6">
        <v>41878.382638888892</v>
      </c>
      <c r="G1002" s="7">
        <v>41948</v>
      </c>
      <c r="H1002" s="7">
        <v>43409</v>
      </c>
      <c r="I1002" s="5" t="s">
        <v>2317</v>
      </c>
      <c r="J1002" s="5" t="str">
        <f>"Copperbelt, Chililabombwe, Chingola"</f>
        <v>Copperbelt, Chililabombwe, Chingola</v>
      </c>
    </row>
    <row r="1003" spans="1:10" x14ac:dyDescent="0.2">
      <c r="A1003" s="2" t="str">
        <f>"19950-HQ-LEL"</f>
        <v>19950-HQ-LEL</v>
      </c>
      <c r="B1003" s="8" t="s">
        <v>2047</v>
      </c>
      <c r="C1003" s="8" t="s">
        <v>15</v>
      </c>
      <c r="D1003" s="8" t="s">
        <v>153</v>
      </c>
      <c r="E1003" s="8" t="s">
        <v>13</v>
      </c>
      <c r="F1003" s="9">
        <v>41883.378472222219</v>
      </c>
      <c r="G1003" s="10">
        <v>41933</v>
      </c>
      <c r="H1003" s="10">
        <v>43393</v>
      </c>
      <c r="I1003" s="8" t="s">
        <v>2048</v>
      </c>
      <c r="J1003" s="8" t="str">
        <f>"Luapula, Mansa"</f>
        <v>Luapula, Mansa</v>
      </c>
    </row>
    <row r="1004" spans="1:10" x14ac:dyDescent="0.2">
      <c r="A1004" s="1" t="str">
        <f>"19972-HQ-AMR"</f>
        <v>19972-HQ-AMR</v>
      </c>
      <c r="B1004" s="5" t="s">
        <v>70</v>
      </c>
      <c r="C1004" s="5" t="s">
        <v>19</v>
      </c>
      <c r="D1004" s="5" t="s">
        <v>71</v>
      </c>
      <c r="E1004" s="5" t="s">
        <v>72</v>
      </c>
      <c r="F1004" s="6">
        <v>41893.475694444445</v>
      </c>
      <c r="G1004" s="7">
        <v>42500</v>
      </c>
      <c r="H1004" s="7">
        <v>43229</v>
      </c>
      <c r="I1004" s="5" t="s">
        <v>73</v>
      </c>
      <c r="J1004" s="5" t="str">
        <f>"Central, Mkushi"</f>
        <v>Central, Mkushi</v>
      </c>
    </row>
    <row r="1005" spans="1:10" x14ac:dyDescent="0.2">
      <c r="A1005" s="2" t="str">
        <f>"20007-HQ-LEL"</f>
        <v>20007-HQ-LEL</v>
      </c>
      <c r="B1005" s="8" t="s">
        <v>2049</v>
      </c>
      <c r="C1005" s="8" t="s">
        <v>15</v>
      </c>
      <c r="D1005" s="8" t="s">
        <v>2014</v>
      </c>
      <c r="E1005" s="8" t="s">
        <v>13</v>
      </c>
      <c r="F1005" s="9">
        <v>41907.488194444442</v>
      </c>
      <c r="G1005" s="10">
        <v>41955</v>
      </c>
      <c r="H1005" s="10">
        <v>43416</v>
      </c>
      <c r="I1005" s="8" t="s">
        <v>2050</v>
      </c>
      <c r="J1005" s="8" t="str">
        <f>"Eastern, Chadiza, Katete"</f>
        <v>Eastern, Chadiza, Katete</v>
      </c>
    </row>
    <row r="1006" spans="1:10" x14ac:dyDescent="0.2">
      <c r="A1006" s="1" t="str">
        <f>" 20015-HQ-LEL"</f>
        <v xml:space="preserve"> 20015-HQ-LEL</v>
      </c>
      <c r="B1006" s="5" t="s">
        <v>2029</v>
      </c>
      <c r="C1006" s="5" t="s">
        <v>15</v>
      </c>
      <c r="D1006" s="5" t="s">
        <v>38</v>
      </c>
      <c r="E1006" s="5" t="s">
        <v>13</v>
      </c>
      <c r="F1006" s="6">
        <v>41908.430555555555</v>
      </c>
      <c r="G1006" s="7">
        <v>41933</v>
      </c>
      <c r="H1006" s="7">
        <v>43394</v>
      </c>
      <c r="I1006" s="5" t="s">
        <v>2051</v>
      </c>
      <c r="J1006" s="5" t="str">
        <f>"Southern, Gwembe"</f>
        <v>Southern, Gwembe</v>
      </c>
    </row>
    <row r="1007" spans="1:10" x14ac:dyDescent="0.2">
      <c r="A1007" s="2" t="str">
        <f>"20024-HQ-LPL"</f>
        <v>20024-HQ-LPL</v>
      </c>
      <c r="B1007" s="8" t="s">
        <v>2052</v>
      </c>
      <c r="C1007" s="8" t="s">
        <v>1297</v>
      </c>
      <c r="D1007" s="8" t="s">
        <v>541</v>
      </c>
      <c r="E1007" s="8" t="s">
        <v>72</v>
      </c>
      <c r="F1007" s="9">
        <v>41911.402777777781</v>
      </c>
      <c r="G1007" s="10">
        <v>42052</v>
      </c>
      <c r="H1007" s="10">
        <v>42782</v>
      </c>
      <c r="I1007" s="8" t="s">
        <v>2053</v>
      </c>
      <c r="J1007" s="8" t="str">
        <f>""</f>
        <v/>
      </c>
    </row>
    <row r="1008" spans="1:10" x14ac:dyDescent="0.2">
      <c r="A1008" s="1" t="str">
        <f>"20034-HQ-LPL"</f>
        <v>20034-HQ-LPL</v>
      </c>
      <c r="B1008" s="5" t="s">
        <v>2054</v>
      </c>
      <c r="C1008" s="5" t="s">
        <v>1297</v>
      </c>
      <c r="D1008" s="5" t="s">
        <v>2055</v>
      </c>
      <c r="E1008" s="5" t="s">
        <v>72</v>
      </c>
      <c r="F1008" s="6">
        <v>41914.447222222225</v>
      </c>
      <c r="G1008" s="7">
        <v>42011</v>
      </c>
      <c r="H1008" s="7">
        <v>42741</v>
      </c>
      <c r="I1008" s="5" t="s">
        <v>2056</v>
      </c>
      <c r="J1008" s="5" t="str">
        <f>"North Western, Kasempa, Solwezi"</f>
        <v>North Western, Kasempa, Solwezi</v>
      </c>
    </row>
    <row r="1009" spans="1:10" x14ac:dyDescent="0.2">
      <c r="A1009" s="2" t="str">
        <f>"20047-HQ-LEL"</f>
        <v>20047-HQ-LEL</v>
      </c>
      <c r="B1009" s="8" t="s">
        <v>2057</v>
      </c>
      <c r="C1009" s="8" t="s">
        <v>15</v>
      </c>
      <c r="D1009" s="8" t="s">
        <v>288</v>
      </c>
      <c r="E1009" s="8" t="s">
        <v>72</v>
      </c>
      <c r="F1009" s="9">
        <v>41919.398611111108</v>
      </c>
      <c r="G1009" s="10">
        <v>41976</v>
      </c>
      <c r="H1009" s="10">
        <v>43437</v>
      </c>
      <c r="I1009" s="8" t="s">
        <v>2318</v>
      </c>
      <c r="J1009" s="8" t="str">
        <f>"Copperbelt, Lufwanyama"</f>
        <v>Copperbelt, Lufwanyama</v>
      </c>
    </row>
    <row r="1010" spans="1:10" x14ac:dyDescent="0.2">
      <c r="A1010" s="1" t="str">
        <f>"20048-HQ-LEL"</f>
        <v>20048-HQ-LEL</v>
      </c>
      <c r="B1010" s="5" t="s">
        <v>2058</v>
      </c>
      <c r="C1010" s="5" t="s">
        <v>15</v>
      </c>
      <c r="D1010" s="5" t="s">
        <v>2037</v>
      </c>
      <c r="E1010" s="5" t="s">
        <v>72</v>
      </c>
      <c r="F1010" s="6">
        <v>41919.407638888886</v>
      </c>
      <c r="G1010" s="7">
        <v>41974</v>
      </c>
      <c r="H1010" s="7">
        <v>43435</v>
      </c>
      <c r="I1010" s="5" t="s">
        <v>2319</v>
      </c>
      <c r="J1010" s="5" t="str">
        <f>"Luapula, Luwingu, Mwense; Northern, Luwingu"</f>
        <v>Luapula, Luwingu, Mwense; Northern, Luwingu</v>
      </c>
    </row>
    <row r="1011" spans="1:10" x14ac:dyDescent="0.2">
      <c r="A1011" s="2" t="str">
        <f>"20057-HQ-LPL"</f>
        <v>20057-HQ-LPL</v>
      </c>
      <c r="B1011" s="8" t="s">
        <v>2059</v>
      </c>
      <c r="C1011" s="8" t="s">
        <v>1297</v>
      </c>
      <c r="D1011" s="8" t="s">
        <v>2060</v>
      </c>
      <c r="E1011" s="8" t="s">
        <v>72</v>
      </c>
      <c r="F1011" s="9">
        <v>41921.494444444441</v>
      </c>
      <c r="G1011" s="10">
        <v>42018</v>
      </c>
      <c r="H1011" s="10">
        <v>42748</v>
      </c>
      <c r="I1011" s="8" t="s">
        <v>2320</v>
      </c>
      <c r="J1011" s="8" t="str">
        <f>""</f>
        <v/>
      </c>
    </row>
    <row r="1012" spans="1:10" x14ac:dyDescent="0.2">
      <c r="A1012" s="1" t="str">
        <f>"20060-HQ-LEL"</f>
        <v>20060-HQ-LEL</v>
      </c>
      <c r="B1012" s="5" t="s">
        <v>2061</v>
      </c>
      <c r="C1012" s="5" t="s">
        <v>15</v>
      </c>
      <c r="D1012" s="5" t="s">
        <v>813</v>
      </c>
      <c r="E1012" s="5" t="s">
        <v>72</v>
      </c>
      <c r="F1012" s="6">
        <v>41921.519444444442</v>
      </c>
      <c r="G1012" s="7">
        <v>41948</v>
      </c>
      <c r="H1012" s="7">
        <v>43409</v>
      </c>
      <c r="I1012" s="5" t="s">
        <v>2321</v>
      </c>
      <c r="J1012" s="5" t="str">
        <f>"North Western, Solwezi"</f>
        <v>North Western, Solwezi</v>
      </c>
    </row>
    <row r="1013" spans="1:10" x14ac:dyDescent="0.2">
      <c r="A1013" s="2" t="str">
        <f>"20061-HQ-LPL"</f>
        <v>20061-HQ-LPL</v>
      </c>
      <c r="B1013" s="8" t="s">
        <v>2062</v>
      </c>
      <c r="C1013" s="8" t="s">
        <v>1297</v>
      </c>
      <c r="D1013" s="8" t="s">
        <v>850</v>
      </c>
      <c r="E1013" s="8" t="s">
        <v>72</v>
      </c>
      <c r="F1013" s="9">
        <v>41921.520833333336</v>
      </c>
      <c r="G1013" s="10">
        <v>42011</v>
      </c>
      <c r="H1013" s="10">
        <v>42741</v>
      </c>
      <c r="I1013" s="8" t="s">
        <v>2322</v>
      </c>
      <c r="J1013" s="8" t="str">
        <f>"North Western, Kasempa, Mufumbwe"</f>
        <v>North Western, Kasempa, Mufumbwe</v>
      </c>
    </row>
    <row r="1014" spans="1:10" x14ac:dyDescent="0.2">
      <c r="A1014" s="1" t="str">
        <f>"20066-HQ-LEL"</f>
        <v>20066-HQ-LEL</v>
      </c>
      <c r="B1014" s="5" t="s">
        <v>136</v>
      </c>
      <c r="C1014" s="5" t="s">
        <v>15</v>
      </c>
      <c r="D1014" s="5" t="s">
        <v>137</v>
      </c>
      <c r="E1014" s="5" t="s">
        <v>13</v>
      </c>
      <c r="F1014" s="6">
        <v>41922.428472222222</v>
      </c>
      <c r="G1014" s="7">
        <v>41990</v>
      </c>
      <c r="H1014" s="7">
        <v>43450</v>
      </c>
      <c r="I1014" s="5" t="s">
        <v>2323</v>
      </c>
      <c r="J1014" s="5" t="str">
        <f>"North Western, Kabompo"</f>
        <v>North Western, Kabompo</v>
      </c>
    </row>
    <row r="1015" spans="1:10" x14ac:dyDescent="0.2">
      <c r="A1015" s="2" t="str">
        <f>"20067-HQ-LPL"</f>
        <v>20067-HQ-LPL</v>
      </c>
      <c r="B1015" s="8" t="s">
        <v>2058</v>
      </c>
      <c r="C1015" s="8" t="s">
        <v>1297</v>
      </c>
      <c r="D1015" s="8" t="s">
        <v>2037</v>
      </c>
      <c r="E1015" s="8" t="s">
        <v>13</v>
      </c>
      <c r="F1015" s="9">
        <v>41922.474999999999</v>
      </c>
      <c r="G1015" s="10">
        <v>42034</v>
      </c>
      <c r="H1015" s="10">
        <v>42764</v>
      </c>
      <c r="I1015" s="8" t="s">
        <v>2324</v>
      </c>
      <c r="J1015" s="8" t="str">
        <f>"Luapula, Kawambwa"</f>
        <v>Luapula, Kawambwa</v>
      </c>
    </row>
    <row r="1016" spans="1:10" x14ac:dyDescent="0.2">
      <c r="A1016" s="1" t="str">
        <f>"20082-HQ-LEL"</f>
        <v>20082-HQ-LEL</v>
      </c>
      <c r="B1016" s="5" t="s">
        <v>2063</v>
      </c>
      <c r="C1016" s="5" t="s">
        <v>15</v>
      </c>
      <c r="D1016" s="5" t="s">
        <v>2064</v>
      </c>
      <c r="E1016" s="5" t="s">
        <v>72</v>
      </c>
      <c r="F1016" s="6">
        <v>41928.42083333333</v>
      </c>
      <c r="G1016" s="7">
        <v>42059</v>
      </c>
      <c r="H1016" s="7">
        <v>42789</v>
      </c>
      <c r="I1016" s="5" t="s">
        <v>2065</v>
      </c>
      <c r="J1016" s="5" t="str">
        <f>"North Western, Mufumbwe"</f>
        <v>North Western, Mufumbwe</v>
      </c>
    </row>
    <row r="1017" spans="1:10" x14ac:dyDescent="0.2">
      <c r="A1017" s="2" t="str">
        <f>"20087-HQ-LPL"</f>
        <v>20087-HQ-LPL</v>
      </c>
      <c r="B1017" s="8" t="s">
        <v>1327</v>
      </c>
      <c r="C1017" s="8" t="s">
        <v>1297</v>
      </c>
      <c r="D1017" s="8" t="s">
        <v>38</v>
      </c>
      <c r="E1017" s="8" t="s">
        <v>72</v>
      </c>
      <c r="F1017" s="9">
        <v>41929.47152777778</v>
      </c>
      <c r="G1017" s="10">
        <v>42052</v>
      </c>
      <c r="H1017" s="10">
        <v>42782</v>
      </c>
      <c r="I1017" s="8" t="s">
        <v>2066</v>
      </c>
      <c r="J1017" s="8" t="str">
        <f>"Southern, Sinazongwe"</f>
        <v>Southern, Sinazongwe</v>
      </c>
    </row>
    <row r="1018" spans="1:10" x14ac:dyDescent="0.2">
      <c r="A1018" s="1" t="str">
        <f>"20094-HQ-LPL"</f>
        <v>20094-HQ-LPL</v>
      </c>
      <c r="B1018" s="5" t="s">
        <v>2067</v>
      </c>
      <c r="C1018" s="5" t="s">
        <v>1297</v>
      </c>
      <c r="D1018" s="5" t="s">
        <v>74</v>
      </c>
      <c r="E1018" s="5" t="s">
        <v>72</v>
      </c>
      <c r="F1018" s="6">
        <v>41933.506249999999</v>
      </c>
      <c r="G1018" s="7">
        <v>42073</v>
      </c>
      <c r="H1018" s="7">
        <v>42803</v>
      </c>
      <c r="I1018" s="5" t="s">
        <v>2068</v>
      </c>
      <c r="J1018" s="5" t="str">
        <f>"Central, Mkushi"</f>
        <v>Central, Mkushi</v>
      </c>
    </row>
    <row r="1019" spans="1:10" x14ac:dyDescent="0.2">
      <c r="A1019" s="2" t="str">
        <f>"20119-HQ-AMR"</f>
        <v>20119-HQ-AMR</v>
      </c>
      <c r="B1019" s="8" t="s">
        <v>1044</v>
      </c>
      <c r="C1019" s="8" t="s">
        <v>19</v>
      </c>
      <c r="D1019" s="8" t="s">
        <v>2069</v>
      </c>
      <c r="E1019" s="8" t="s">
        <v>72</v>
      </c>
      <c r="F1019" s="9">
        <v>41948.439583333333</v>
      </c>
      <c r="G1019" s="10">
        <v>42144</v>
      </c>
      <c r="H1019" s="10">
        <v>42874</v>
      </c>
      <c r="I1019" s="8" t="s">
        <v>2070</v>
      </c>
      <c r="J1019" s="8" t="str">
        <f>"Central, Serenje"</f>
        <v>Central, Serenje</v>
      </c>
    </row>
    <row r="1020" spans="1:10" x14ac:dyDescent="0.2">
      <c r="A1020" s="1" t="str">
        <f>" 20143-HQ-LEL"</f>
        <v xml:space="preserve"> 20143-HQ-LEL</v>
      </c>
      <c r="B1020" s="5" t="s">
        <v>2071</v>
      </c>
      <c r="C1020" s="5" t="s">
        <v>15</v>
      </c>
      <c r="D1020" s="5" t="s">
        <v>541</v>
      </c>
      <c r="E1020" s="5" t="s">
        <v>72</v>
      </c>
      <c r="F1020" s="6">
        <v>41950.411805555559</v>
      </c>
      <c r="G1020" s="7">
        <v>42010</v>
      </c>
      <c r="H1020" s="7">
        <v>42740</v>
      </c>
      <c r="I1020" s="5" t="s">
        <v>2072</v>
      </c>
      <c r="J1020" s="5" t="str">
        <f>"Central, Chibombo"</f>
        <v>Central, Chibombo</v>
      </c>
    </row>
    <row r="1021" spans="1:10" x14ac:dyDescent="0.2">
      <c r="A1021" s="2" t="str">
        <f>"20144-HQ-LPL"</f>
        <v>20144-HQ-LPL</v>
      </c>
      <c r="B1021" s="8" t="s">
        <v>2071</v>
      </c>
      <c r="C1021" s="8" t="s">
        <v>1297</v>
      </c>
      <c r="D1021" s="8" t="s">
        <v>541</v>
      </c>
      <c r="E1021" s="8" t="s">
        <v>72</v>
      </c>
      <c r="F1021" s="9">
        <v>41950.409722222219</v>
      </c>
      <c r="G1021" s="10">
        <v>42010</v>
      </c>
      <c r="H1021" s="10">
        <v>42740</v>
      </c>
      <c r="I1021" s="8" t="s">
        <v>2073</v>
      </c>
      <c r="J1021" s="8" t="str">
        <f>"Central, Chibombo"</f>
        <v>Central, Chibombo</v>
      </c>
    </row>
    <row r="1022" spans="1:10" x14ac:dyDescent="0.2">
      <c r="A1022" s="1" t="str">
        <f>"20153-HQ-AMR"</f>
        <v>20153-HQ-AMR</v>
      </c>
      <c r="B1022" s="5" t="s">
        <v>2074</v>
      </c>
      <c r="C1022" s="5" t="s">
        <v>19</v>
      </c>
      <c r="D1022" s="5" t="s">
        <v>82</v>
      </c>
      <c r="E1022" s="5" t="s">
        <v>72</v>
      </c>
      <c r="F1022" s="6">
        <v>41961.493055555555</v>
      </c>
      <c r="G1022" s="7">
        <v>42018</v>
      </c>
      <c r="H1022" s="7">
        <v>42748</v>
      </c>
      <c r="I1022" s="5" t="s">
        <v>2075</v>
      </c>
      <c r="J1022" s="5" t="str">
        <f>"Eastern, Nyimba"</f>
        <v>Eastern, Nyimba</v>
      </c>
    </row>
    <row r="1023" spans="1:10" x14ac:dyDescent="0.2">
      <c r="A1023" s="2" t="str">
        <f>"20156-HQ-AMR"</f>
        <v>20156-HQ-AMR</v>
      </c>
      <c r="B1023" s="8" t="s">
        <v>2076</v>
      </c>
      <c r="C1023" s="8" t="s">
        <v>19</v>
      </c>
      <c r="D1023" s="8" t="s">
        <v>1338</v>
      </c>
      <c r="E1023" s="8" t="s">
        <v>72</v>
      </c>
      <c r="F1023" s="9">
        <v>41962.502083333333</v>
      </c>
      <c r="G1023" s="10">
        <v>42016</v>
      </c>
      <c r="H1023" s="10">
        <v>42746</v>
      </c>
      <c r="I1023" s="8" t="s">
        <v>2077</v>
      </c>
      <c r="J1023" s="8" t="str">
        <f>"Copperbelt, Chililabombwe"</f>
        <v>Copperbelt, Chililabombwe</v>
      </c>
    </row>
    <row r="1024" spans="1:10" x14ac:dyDescent="0.2">
      <c r="A1024" s="1" t="str">
        <f>"20157-HQ-AMR"</f>
        <v>20157-HQ-AMR</v>
      </c>
      <c r="B1024" s="5" t="s">
        <v>2078</v>
      </c>
      <c r="C1024" s="5" t="s">
        <v>19</v>
      </c>
      <c r="D1024" s="5" t="s">
        <v>1338</v>
      </c>
      <c r="E1024" s="5" t="s">
        <v>72</v>
      </c>
      <c r="F1024" s="6">
        <v>41962.504166666666</v>
      </c>
      <c r="G1024" s="7">
        <v>42016</v>
      </c>
      <c r="H1024" s="7">
        <v>42746</v>
      </c>
      <c r="I1024" s="5" t="s">
        <v>2079</v>
      </c>
      <c r="J1024" s="5" t="str">
        <f>"Copperbelt, Chililabombwe"</f>
        <v>Copperbelt, Chililabombwe</v>
      </c>
    </row>
    <row r="1025" spans="1:10" x14ac:dyDescent="0.2">
      <c r="A1025" s="2" t="str">
        <f>"20158-HQ-AMR"</f>
        <v>20158-HQ-AMR</v>
      </c>
      <c r="B1025" s="8" t="s">
        <v>2078</v>
      </c>
      <c r="C1025" s="8" t="s">
        <v>19</v>
      </c>
      <c r="D1025" s="8" t="s">
        <v>1338</v>
      </c>
      <c r="E1025" s="8" t="s">
        <v>72</v>
      </c>
      <c r="F1025" s="9">
        <v>41962.506249999999</v>
      </c>
      <c r="G1025" s="10">
        <v>42016</v>
      </c>
      <c r="H1025" s="10">
        <v>42746</v>
      </c>
      <c r="I1025" s="8" t="s">
        <v>2079</v>
      </c>
      <c r="J1025" s="8" t="str">
        <f>"Copperbelt, Chililabombwe"</f>
        <v>Copperbelt, Chililabombwe</v>
      </c>
    </row>
    <row r="1026" spans="1:10" ht="22.5" x14ac:dyDescent="0.2">
      <c r="A1026" s="1" t="str">
        <f>"20159-HQ-LPL"</f>
        <v>20159-HQ-LPL</v>
      </c>
      <c r="B1026" s="5" t="s">
        <v>2080</v>
      </c>
      <c r="C1026" s="5" t="s">
        <v>1297</v>
      </c>
      <c r="D1026" s="5" t="s">
        <v>2081</v>
      </c>
      <c r="E1026" s="5" t="s">
        <v>72</v>
      </c>
      <c r="F1026" s="6">
        <v>41963.433333333334</v>
      </c>
      <c r="G1026" s="7">
        <v>42158</v>
      </c>
      <c r="H1026" s="7">
        <v>42888</v>
      </c>
      <c r="I1026" s="5" t="s">
        <v>2082</v>
      </c>
      <c r="J1026" s="5" t="str">
        <f>"Copperbelt, Mpongwe"</f>
        <v>Copperbelt, Mpongwe</v>
      </c>
    </row>
    <row r="1027" spans="1:10" x14ac:dyDescent="0.2">
      <c r="A1027" s="2" t="str">
        <f>"20173-HQ-AMR"</f>
        <v>20173-HQ-AMR</v>
      </c>
      <c r="B1027" s="8" t="s">
        <v>2083</v>
      </c>
      <c r="C1027" s="8" t="s">
        <v>19</v>
      </c>
      <c r="D1027" s="8" t="s">
        <v>2084</v>
      </c>
      <c r="E1027" s="8" t="s">
        <v>13</v>
      </c>
      <c r="F1027" s="9">
        <v>41970.392361111109</v>
      </c>
      <c r="G1027" s="10">
        <v>42186</v>
      </c>
      <c r="H1027" s="10">
        <v>42916</v>
      </c>
      <c r="I1027" s="8" t="s">
        <v>2085</v>
      </c>
      <c r="J1027" s="8" t="str">
        <f>"Southern, Siavonga"</f>
        <v>Southern, Siavonga</v>
      </c>
    </row>
    <row r="1028" spans="1:10" x14ac:dyDescent="0.2">
      <c r="A1028" s="1" t="str">
        <f>"20174-HQ-AMR"</f>
        <v>20174-HQ-AMR</v>
      </c>
      <c r="B1028" s="5" t="s">
        <v>2086</v>
      </c>
      <c r="C1028" s="5" t="s">
        <v>19</v>
      </c>
      <c r="D1028" s="5" t="s">
        <v>843</v>
      </c>
      <c r="E1028" s="5" t="s">
        <v>72</v>
      </c>
      <c r="F1028" s="6">
        <v>41970.480555555558</v>
      </c>
      <c r="G1028" s="7">
        <v>42186</v>
      </c>
      <c r="H1028" s="7">
        <v>42916</v>
      </c>
      <c r="I1028" s="5" t="s">
        <v>2087</v>
      </c>
      <c r="J1028" s="5" t="str">
        <f>"Central, Mkushi"</f>
        <v>Central, Mkushi</v>
      </c>
    </row>
    <row r="1029" spans="1:10" x14ac:dyDescent="0.2">
      <c r="A1029" s="2" t="str">
        <f>"20177-HQ-LPL"</f>
        <v>20177-HQ-LPL</v>
      </c>
      <c r="B1029" s="8" t="s">
        <v>432</v>
      </c>
      <c r="C1029" s="8" t="s">
        <v>1297</v>
      </c>
      <c r="D1029" s="8" t="s">
        <v>141</v>
      </c>
      <c r="E1029" s="8" t="s">
        <v>72</v>
      </c>
      <c r="F1029" s="9">
        <v>41970.507638888892</v>
      </c>
      <c r="G1029" s="10">
        <v>42016</v>
      </c>
      <c r="H1029" s="10">
        <v>42746</v>
      </c>
      <c r="I1029" s="8" t="s">
        <v>2325</v>
      </c>
      <c r="J1029" s="8" t="str">
        <f>"North Western, Solwezi"</f>
        <v>North Western, Solwezi</v>
      </c>
    </row>
    <row r="1030" spans="1:10" x14ac:dyDescent="0.2">
      <c r="A1030" s="1" t="str">
        <f>"20191-HQ-AMR"</f>
        <v>20191-HQ-AMR</v>
      </c>
      <c r="B1030" s="5" t="s">
        <v>96</v>
      </c>
      <c r="C1030" s="5" t="s">
        <v>19</v>
      </c>
      <c r="D1030" s="5" t="s">
        <v>97</v>
      </c>
      <c r="E1030" s="5" t="s">
        <v>13</v>
      </c>
      <c r="F1030" s="6">
        <v>41976.453472222223</v>
      </c>
      <c r="G1030" s="7">
        <v>42486</v>
      </c>
      <c r="H1030" s="7">
        <v>43215</v>
      </c>
      <c r="I1030" s="5" t="s">
        <v>98</v>
      </c>
      <c r="J1030" s="5" t="str">
        <f>"Southern, Mazabuka"</f>
        <v>Southern, Mazabuka</v>
      </c>
    </row>
    <row r="1031" spans="1:10" x14ac:dyDescent="0.2">
      <c r="A1031" s="2" t="str">
        <f>"20214-HQ-AMR"</f>
        <v>20214-HQ-AMR</v>
      </c>
      <c r="B1031" s="8" t="s">
        <v>2088</v>
      </c>
      <c r="C1031" s="8" t="s">
        <v>19</v>
      </c>
      <c r="D1031" s="8" t="s">
        <v>353</v>
      </c>
      <c r="E1031" s="8" t="s">
        <v>72</v>
      </c>
      <c r="F1031" s="9">
        <v>41985.515972222223</v>
      </c>
      <c r="G1031" s="10">
        <v>42226</v>
      </c>
      <c r="H1031" s="10">
        <v>42956</v>
      </c>
      <c r="I1031" s="8" t="s">
        <v>2326</v>
      </c>
      <c r="J1031" s="8" t="str">
        <f>"Copperbelt, Kitwe"</f>
        <v>Copperbelt, Kitwe</v>
      </c>
    </row>
    <row r="1032" spans="1:10" x14ac:dyDescent="0.2">
      <c r="A1032" s="1" t="str">
        <f>"20221-HQ-AMR"</f>
        <v>20221-HQ-AMR</v>
      </c>
      <c r="B1032" s="5" t="s">
        <v>99</v>
      </c>
      <c r="C1032" s="5" t="s">
        <v>19</v>
      </c>
      <c r="D1032" s="5" t="s">
        <v>100</v>
      </c>
      <c r="E1032" s="5" t="s">
        <v>13</v>
      </c>
      <c r="F1032" s="6">
        <v>41988.535416666666</v>
      </c>
      <c r="G1032" s="7">
        <v>42450</v>
      </c>
      <c r="H1032" s="7">
        <v>43179</v>
      </c>
      <c r="I1032" s="5" t="s">
        <v>2225</v>
      </c>
      <c r="J1032" s="5" t="str">
        <f>"Southern, Kalomo"</f>
        <v>Southern, Kalomo</v>
      </c>
    </row>
    <row r="1033" spans="1:10" x14ac:dyDescent="0.2">
      <c r="A1033" s="2" t="str">
        <f>"20222-HQ-AMR"</f>
        <v>20222-HQ-AMR</v>
      </c>
      <c r="B1033" s="8" t="s">
        <v>2089</v>
      </c>
      <c r="C1033" s="8" t="s">
        <v>19</v>
      </c>
      <c r="D1033" s="8" t="s">
        <v>1247</v>
      </c>
      <c r="E1033" s="8" t="s">
        <v>72</v>
      </c>
      <c r="F1033" s="9">
        <v>41988.536805555559</v>
      </c>
      <c r="G1033" s="10">
        <v>42066</v>
      </c>
      <c r="H1033" s="10">
        <v>42796</v>
      </c>
      <c r="I1033" s="8" t="s">
        <v>2090</v>
      </c>
      <c r="J1033" s="8" t="str">
        <f>"Southern, Kalomo"</f>
        <v>Southern, Kalomo</v>
      </c>
    </row>
    <row r="1034" spans="1:10" x14ac:dyDescent="0.2">
      <c r="A1034" s="1" t="str">
        <f>"20227-HQ-AMR"</f>
        <v>20227-HQ-AMR</v>
      </c>
      <c r="B1034" s="5" t="s">
        <v>2091</v>
      </c>
      <c r="C1034" s="5" t="s">
        <v>19</v>
      </c>
      <c r="D1034" s="5" t="s">
        <v>978</v>
      </c>
      <c r="E1034" s="5" t="s">
        <v>72</v>
      </c>
      <c r="F1034" s="6">
        <v>41990.456250000003</v>
      </c>
      <c r="G1034" s="7">
        <v>42090</v>
      </c>
      <c r="H1034" s="7">
        <v>42820</v>
      </c>
      <c r="I1034" s="5" t="s">
        <v>2092</v>
      </c>
      <c r="J1034" s="5" t="str">
        <f>"Eastern, Lundazi"</f>
        <v>Eastern, Lundazi</v>
      </c>
    </row>
    <row r="1035" spans="1:10" x14ac:dyDescent="0.2">
      <c r="A1035" s="2" t="str">
        <f>"20245-HQ-AMR"</f>
        <v>20245-HQ-AMR</v>
      </c>
      <c r="B1035" s="8" t="s">
        <v>2093</v>
      </c>
      <c r="C1035" s="8" t="s">
        <v>19</v>
      </c>
      <c r="D1035" s="8" t="s">
        <v>2094</v>
      </c>
      <c r="E1035" s="8" t="s">
        <v>72</v>
      </c>
      <c r="F1035" s="9">
        <v>42009.449305555558</v>
      </c>
      <c r="G1035" s="10">
        <v>42053</v>
      </c>
      <c r="H1035" s="10">
        <v>42783</v>
      </c>
      <c r="I1035" s="8" t="s">
        <v>2095</v>
      </c>
      <c r="J1035" s="8" t="str">
        <f>"Southern, Siavonga"</f>
        <v>Southern, Siavonga</v>
      </c>
    </row>
    <row r="1036" spans="1:10" x14ac:dyDescent="0.2">
      <c r="A1036" s="1" t="str">
        <f>"20246-HQ-LPL"</f>
        <v>20246-HQ-LPL</v>
      </c>
      <c r="B1036" s="5" t="s">
        <v>2096</v>
      </c>
      <c r="C1036" s="5" t="s">
        <v>1297</v>
      </c>
      <c r="D1036" s="5" t="s">
        <v>308</v>
      </c>
      <c r="E1036" s="5" t="s">
        <v>72</v>
      </c>
      <c r="F1036" s="6">
        <v>42009.529166666667</v>
      </c>
      <c r="G1036" s="7">
        <v>42244</v>
      </c>
      <c r="H1036" s="7">
        <v>42974</v>
      </c>
      <c r="I1036" s="5" t="s">
        <v>2097</v>
      </c>
      <c r="J1036" s="5" t="str">
        <f>"North Western, Mufumbwe"</f>
        <v>North Western, Mufumbwe</v>
      </c>
    </row>
    <row r="1037" spans="1:10" x14ac:dyDescent="0.2">
      <c r="A1037" s="2" t="str">
        <f>"20250-HQ-LPL"</f>
        <v>20250-HQ-LPL</v>
      </c>
      <c r="B1037" s="8" t="s">
        <v>2098</v>
      </c>
      <c r="C1037" s="8" t="s">
        <v>1297</v>
      </c>
      <c r="D1037" s="8" t="s">
        <v>2099</v>
      </c>
      <c r="E1037" s="8" t="s">
        <v>13</v>
      </c>
      <c r="F1037" s="9">
        <v>42012.397222222222</v>
      </c>
      <c r="G1037" s="10">
        <v>42237</v>
      </c>
      <c r="H1037" s="10">
        <v>42967</v>
      </c>
      <c r="I1037" s="8" t="s">
        <v>2100</v>
      </c>
      <c r="J1037" s="8" t="str">
        <f>"Northern, Mporokoso"</f>
        <v>Northern, Mporokoso</v>
      </c>
    </row>
    <row r="1038" spans="1:10" x14ac:dyDescent="0.2">
      <c r="A1038" s="1" t="str">
        <f>"20255-HQ-AMR"</f>
        <v>20255-HQ-AMR</v>
      </c>
      <c r="B1038" s="5" t="s">
        <v>2101</v>
      </c>
      <c r="C1038" s="5" t="s">
        <v>19</v>
      </c>
      <c r="D1038" s="5" t="s">
        <v>2102</v>
      </c>
      <c r="E1038" s="5" t="s">
        <v>72</v>
      </c>
      <c r="F1038" s="6">
        <v>42019.507638888892</v>
      </c>
      <c r="G1038" s="7">
        <v>42053</v>
      </c>
      <c r="H1038" s="7">
        <v>42783</v>
      </c>
      <c r="I1038" s="5" t="s">
        <v>2103</v>
      </c>
      <c r="J1038" s="5" t="str">
        <f>"Northern, Chinsali"</f>
        <v>Northern, Chinsali</v>
      </c>
    </row>
    <row r="1039" spans="1:10" ht="22.5" x14ac:dyDescent="0.2">
      <c r="A1039" s="2" t="str">
        <f>"20257-HQ-LPL"</f>
        <v>20257-HQ-LPL</v>
      </c>
      <c r="B1039" s="8" t="s">
        <v>2104</v>
      </c>
      <c r="C1039" s="8" t="s">
        <v>1297</v>
      </c>
      <c r="D1039" s="8" t="s">
        <v>159</v>
      </c>
      <c r="E1039" s="8" t="s">
        <v>138</v>
      </c>
      <c r="F1039" s="9">
        <v>42020.440972222219</v>
      </c>
      <c r="G1039" s="10">
        <v>42093</v>
      </c>
      <c r="H1039" s="10">
        <v>42823</v>
      </c>
      <c r="I1039" s="8" t="s">
        <v>2105</v>
      </c>
      <c r="J1039" s="8" t="str">
        <f>"Southern, Itezhi Tezhi, Kalomo, Kazungula"</f>
        <v>Southern, Itezhi Tezhi, Kalomo, Kazungula</v>
      </c>
    </row>
    <row r="1040" spans="1:10" ht="22.5" x14ac:dyDescent="0.2">
      <c r="A1040" s="1" t="str">
        <f>" 20265-HQ-LEL"</f>
        <v xml:space="preserve"> 20265-HQ-LEL</v>
      </c>
      <c r="B1040" s="5" t="s">
        <v>2104</v>
      </c>
      <c r="C1040" s="5" t="s">
        <v>15</v>
      </c>
      <c r="D1040" s="5" t="s">
        <v>159</v>
      </c>
      <c r="E1040" s="5" t="s">
        <v>72</v>
      </c>
      <c r="F1040" s="6">
        <v>42020.465277777781</v>
      </c>
      <c r="G1040" s="7">
        <v>42130</v>
      </c>
      <c r="H1040" s="7">
        <v>42860</v>
      </c>
      <c r="I1040" s="5" t="s">
        <v>2106</v>
      </c>
      <c r="J1040" s="5" t="str">
        <f>"Southern, Itezhi Tezhi, Kalomo, Namwala"</f>
        <v>Southern, Itezhi Tezhi, Kalomo, Namwala</v>
      </c>
    </row>
    <row r="1041" spans="1:10" x14ac:dyDescent="0.2">
      <c r="A1041" s="2" t="str">
        <f>"20267-HQ-LPL"</f>
        <v>20267-HQ-LPL</v>
      </c>
      <c r="B1041" s="8" t="s">
        <v>697</v>
      </c>
      <c r="C1041" s="8" t="s">
        <v>1297</v>
      </c>
      <c r="D1041" s="8" t="s">
        <v>2107</v>
      </c>
      <c r="E1041" s="8" t="s">
        <v>72</v>
      </c>
      <c r="F1041" s="9">
        <v>42020.477777777778</v>
      </c>
      <c r="G1041" s="10">
        <v>42167</v>
      </c>
      <c r="H1041" s="10">
        <v>42897</v>
      </c>
      <c r="I1041" s="8" t="s">
        <v>2108</v>
      </c>
      <c r="J1041" s="8" t="str">
        <f>"North Western, Mwinilunga"</f>
        <v>North Western, Mwinilunga</v>
      </c>
    </row>
    <row r="1042" spans="1:10" x14ac:dyDescent="0.2">
      <c r="A1042" s="1" t="str">
        <f>"20275-HQ-LPL"</f>
        <v>20275-HQ-LPL</v>
      </c>
      <c r="B1042" s="5" t="s">
        <v>542</v>
      </c>
      <c r="C1042" s="5" t="s">
        <v>1297</v>
      </c>
      <c r="D1042" s="5" t="s">
        <v>1848</v>
      </c>
      <c r="E1042" s="5" t="s">
        <v>72</v>
      </c>
      <c r="F1042" s="6">
        <v>42025.522222222222</v>
      </c>
      <c r="G1042" s="7">
        <v>42103</v>
      </c>
      <c r="H1042" s="7">
        <v>42833</v>
      </c>
      <c r="I1042" s="5" t="s">
        <v>2109</v>
      </c>
      <c r="J1042" s="5" t="str">
        <f>"North Western, Kasempa, Mufumbwe"</f>
        <v>North Western, Kasempa, Mufumbwe</v>
      </c>
    </row>
    <row r="1043" spans="1:10" x14ac:dyDescent="0.2">
      <c r="A1043" s="2" t="str">
        <f>"20284-HQ-LPL"</f>
        <v>20284-HQ-LPL</v>
      </c>
      <c r="B1043" s="8" t="s">
        <v>2110</v>
      </c>
      <c r="C1043" s="8" t="s">
        <v>1297</v>
      </c>
      <c r="D1043" s="8" t="s">
        <v>350</v>
      </c>
      <c r="E1043" s="8" t="s">
        <v>72</v>
      </c>
      <c r="F1043" s="9">
        <v>42030.427777777775</v>
      </c>
      <c r="G1043" s="10">
        <v>42167</v>
      </c>
      <c r="H1043" s="10">
        <v>42897</v>
      </c>
      <c r="I1043" s="8" t="s">
        <v>2327</v>
      </c>
      <c r="J1043" s="8" t="str">
        <f>"Central, Mumbwa; Southern, Itezhi Tezhi"</f>
        <v>Central, Mumbwa; Southern, Itezhi Tezhi</v>
      </c>
    </row>
    <row r="1044" spans="1:10" x14ac:dyDescent="0.2">
      <c r="A1044" s="1" t="str">
        <f>"20286-HQ-LPL"</f>
        <v>20286-HQ-LPL</v>
      </c>
      <c r="B1044" s="5" t="s">
        <v>2111</v>
      </c>
      <c r="C1044" s="5" t="s">
        <v>1297</v>
      </c>
      <c r="D1044" s="5" t="s">
        <v>2112</v>
      </c>
      <c r="E1044" s="5" t="s">
        <v>72</v>
      </c>
      <c r="F1044" s="6">
        <v>42031.513194444444</v>
      </c>
      <c r="G1044" s="7">
        <v>42073</v>
      </c>
      <c r="H1044" s="7">
        <v>42803</v>
      </c>
      <c r="I1044" s="5" t="s">
        <v>2113</v>
      </c>
      <c r="J1044" s="5" t="str">
        <f>"Lusaka, Kafue, Lusaka"</f>
        <v>Lusaka, Kafue, Lusaka</v>
      </c>
    </row>
    <row r="1045" spans="1:10" x14ac:dyDescent="0.2">
      <c r="A1045" s="2" t="str">
        <f>"20289-HQ-LPL"</f>
        <v>20289-HQ-LPL</v>
      </c>
      <c r="B1045" s="8" t="s">
        <v>2114</v>
      </c>
      <c r="C1045" s="8" t="s">
        <v>1297</v>
      </c>
      <c r="D1045" s="8" t="s">
        <v>51</v>
      </c>
      <c r="E1045" s="8" t="s">
        <v>72</v>
      </c>
      <c r="F1045" s="9">
        <v>42038.454861111109</v>
      </c>
      <c r="G1045" s="10">
        <v>42123</v>
      </c>
      <c r="H1045" s="10">
        <v>42853</v>
      </c>
      <c r="I1045" s="8" t="s">
        <v>2115</v>
      </c>
      <c r="J1045" s="8" t="str">
        <f>"North Western, Kasempa"</f>
        <v>North Western, Kasempa</v>
      </c>
    </row>
    <row r="1046" spans="1:10" x14ac:dyDescent="0.2">
      <c r="A1046" s="1" t="str">
        <f>"20291-HQ-LEL"</f>
        <v>20291-HQ-LEL</v>
      </c>
      <c r="B1046" s="5" t="s">
        <v>2116</v>
      </c>
      <c r="C1046" s="5" t="s">
        <v>15</v>
      </c>
      <c r="D1046" s="5" t="s">
        <v>2117</v>
      </c>
      <c r="E1046" s="5" t="s">
        <v>13</v>
      </c>
      <c r="F1046" s="6">
        <v>42040.478472222225</v>
      </c>
      <c r="G1046" s="7">
        <v>42076</v>
      </c>
      <c r="H1046" s="7">
        <v>42806</v>
      </c>
      <c r="I1046" s="5" t="s">
        <v>2118</v>
      </c>
      <c r="J1046" s="5" t="str">
        <f>"Eastern, Nyimba"</f>
        <v>Eastern, Nyimba</v>
      </c>
    </row>
    <row r="1047" spans="1:10" x14ac:dyDescent="0.2">
      <c r="A1047" s="2" t="str">
        <f>"20295-HQ-LPL"</f>
        <v>20295-HQ-LPL</v>
      </c>
      <c r="B1047" s="8" t="s">
        <v>2119</v>
      </c>
      <c r="C1047" s="8" t="s">
        <v>1297</v>
      </c>
      <c r="D1047" s="8" t="s">
        <v>141</v>
      </c>
      <c r="E1047" s="8" t="s">
        <v>72</v>
      </c>
      <c r="F1047" s="9">
        <v>42044.515972222223</v>
      </c>
      <c r="G1047" s="10">
        <v>42076</v>
      </c>
      <c r="H1047" s="10">
        <v>42806</v>
      </c>
      <c r="I1047" s="8" t="s">
        <v>2120</v>
      </c>
      <c r="J1047" s="8" t="str">
        <f>"North Western, Mwinilunga"</f>
        <v>North Western, Mwinilunga</v>
      </c>
    </row>
    <row r="1048" spans="1:10" x14ac:dyDescent="0.2">
      <c r="A1048" s="1" t="str">
        <f>"20303-HQ-AMR"</f>
        <v>20303-HQ-AMR</v>
      </c>
      <c r="B1048" s="5" t="s">
        <v>2121</v>
      </c>
      <c r="C1048" s="5" t="s">
        <v>19</v>
      </c>
      <c r="D1048" s="5" t="s">
        <v>200</v>
      </c>
      <c r="E1048" s="5" t="s">
        <v>72</v>
      </c>
      <c r="F1048" s="6">
        <v>42047.517361111109</v>
      </c>
      <c r="G1048" s="7">
        <v>42080</v>
      </c>
      <c r="H1048" s="7">
        <v>42810</v>
      </c>
      <c r="I1048" s="5" t="s">
        <v>2122</v>
      </c>
      <c r="J1048" s="5" t="str">
        <f>"Eastern, Nyimba"</f>
        <v>Eastern, Nyimba</v>
      </c>
    </row>
    <row r="1049" spans="1:10" x14ac:dyDescent="0.2">
      <c r="A1049" s="2" t="str">
        <f>"20307-HQ-AMR"</f>
        <v>20307-HQ-AMR</v>
      </c>
      <c r="B1049" s="8" t="s">
        <v>2123</v>
      </c>
      <c r="C1049" s="8" t="s">
        <v>19</v>
      </c>
      <c r="D1049" s="8" t="s">
        <v>97</v>
      </c>
      <c r="E1049" s="8" t="s">
        <v>72</v>
      </c>
      <c r="F1049" s="9">
        <v>42051.428472222222</v>
      </c>
      <c r="G1049" s="10">
        <v>42076</v>
      </c>
      <c r="H1049" s="10">
        <v>42806</v>
      </c>
      <c r="I1049" s="8" t="s">
        <v>2124</v>
      </c>
      <c r="J1049" s="8" t="str">
        <f>"Eastern, Katete"</f>
        <v>Eastern, Katete</v>
      </c>
    </row>
    <row r="1050" spans="1:10" x14ac:dyDescent="0.2">
      <c r="A1050" s="1" t="str">
        <f>"20308-HQ-AMR"</f>
        <v>20308-HQ-AMR</v>
      </c>
      <c r="B1050" s="5" t="s">
        <v>2123</v>
      </c>
      <c r="C1050" s="5" t="s">
        <v>19</v>
      </c>
      <c r="D1050" s="5" t="s">
        <v>97</v>
      </c>
      <c r="E1050" s="5" t="s">
        <v>72</v>
      </c>
      <c r="F1050" s="6">
        <v>42051.429861111108</v>
      </c>
      <c r="G1050" s="7">
        <v>42076</v>
      </c>
      <c r="H1050" s="7">
        <v>42806</v>
      </c>
      <c r="I1050" s="5" t="s">
        <v>2125</v>
      </c>
      <c r="J1050" s="5" t="str">
        <f>"Eastern, Katete"</f>
        <v>Eastern, Katete</v>
      </c>
    </row>
    <row r="1051" spans="1:10" x14ac:dyDescent="0.2">
      <c r="A1051" s="2" t="str">
        <f>"20311-HQ-LPL"</f>
        <v>20311-HQ-LPL</v>
      </c>
      <c r="B1051" s="8" t="s">
        <v>1943</v>
      </c>
      <c r="C1051" s="8" t="s">
        <v>1297</v>
      </c>
      <c r="D1051" s="8" t="s">
        <v>2126</v>
      </c>
      <c r="E1051" s="8" t="s">
        <v>13</v>
      </c>
      <c r="F1051" s="9">
        <v>42052.401388888888</v>
      </c>
      <c r="G1051" s="10">
        <v>42079</v>
      </c>
      <c r="H1051" s="10">
        <v>42809</v>
      </c>
      <c r="I1051" s="8" t="s">
        <v>2127</v>
      </c>
      <c r="J1051" s="8" t="str">
        <f>"Northern, Nakonde"</f>
        <v>Northern, Nakonde</v>
      </c>
    </row>
    <row r="1052" spans="1:10" x14ac:dyDescent="0.2">
      <c r="A1052" s="1" t="str">
        <f>"20315-HQ-LPL"</f>
        <v>20315-HQ-LPL</v>
      </c>
      <c r="B1052" s="5" t="s">
        <v>2128</v>
      </c>
      <c r="C1052" s="5" t="s">
        <v>1297</v>
      </c>
      <c r="D1052" s="5" t="s">
        <v>2129</v>
      </c>
      <c r="E1052" s="5" t="s">
        <v>489</v>
      </c>
      <c r="F1052" s="6">
        <v>42055.445833333331</v>
      </c>
      <c r="G1052" s="7">
        <v>42186</v>
      </c>
      <c r="H1052" s="7">
        <v>42916</v>
      </c>
      <c r="I1052" s="5" t="s">
        <v>2130</v>
      </c>
      <c r="J1052" s="5" t="str">
        <f>"Western, Senanga, Shang'ombo"</f>
        <v>Western, Senanga, Shang'ombo</v>
      </c>
    </row>
    <row r="1053" spans="1:10" x14ac:dyDescent="0.2">
      <c r="A1053" s="2" t="str">
        <f>"20319-HQ-LEL"</f>
        <v>20319-HQ-LEL</v>
      </c>
      <c r="B1053" s="8" t="s">
        <v>1556</v>
      </c>
      <c r="C1053" s="8" t="s">
        <v>15</v>
      </c>
      <c r="D1053" s="8" t="s">
        <v>909</v>
      </c>
      <c r="E1053" s="8" t="s">
        <v>489</v>
      </c>
      <c r="F1053" s="9">
        <v>42058.460416666669</v>
      </c>
      <c r="G1053" s="10">
        <v>42137</v>
      </c>
      <c r="H1053" s="10">
        <v>42867</v>
      </c>
      <c r="I1053" s="8" t="s">
        <v>2131</v>
      </c>
      <c r="J1053" s="8" t="str">
        <f>"Central, Mumbwa; Southern, Itezhi Tezhi"</f>
        <v>Central, Mumbwa; Southern, Itezhi Tezhi</v>
      </c>
    </row>
    <row r="1054" spans="1:10" x14ac:dyDescent="0.2">
      <c r="A1054" s="1" t="str">
        <f>"20323-HQ-LEL"</f>
        <v>20323-HQ-LEL</v>
      </c>
      <c r="B1054" s="5" t="s">
        <v>1350</v>
      </c>
      <c r="C1054" s="5" t="s">
        <v>15</v>
      </c>
      <c r="D1054" s="5" t="s">
        <v>110</v>
      </c>
      <c r="E1054" s="5" t="s">
        <v>489</v>
      </c>
      <c r="F1054" s="6">
        <v>42060.5</v>
      </c>
      <c r="G1054" s="7">
        <v>42144</v>
      </c>
      <c r="H1054" s="7">
        <v>42874</v>
      </c>
      <c r="I1054" s="5" t="s">
        <v>2132</v>
      </c>
      <c r="J1054" s="5" t="str">
        <f>"North Western, Solwezi"</f>
        <v>North Western, Solwezi</v>
      </c>
    </row>
    <row r="1055" spans="1:10" x14ac:dyDescent="0.2">
      <c r="A1055" s="2" t="str">
        <f>"20324-HQ-LPL"</f>
        <v>20324-HQ-LPL</v>
      </c>
      <c r="B1055" s="8" t="s">
        <v>2133</v>
      </c>
      <c r="C1055" s="8" t="s">
        <v>1297</v>
      </c>
      <c r="D1055" s="8" t="s">
        <v>2134</v>
      </c>
      <c r="E1055" s="8" t="s">
        <v>13</v>
      </c>
      <c r="F1055" s="9">
        <v>42061.631249999999</v>
      </c>
      <c r="G1055" s="10">
        <v>42115</v>
      </c>
      <c r="H1055" s="10">
        <v>42845</v>
      </c>
      <c r="I1055" s="8" t="s">
        <v>2135</v>
      </c>
      <c r="J1055" s="8" t="str">
        <f>"Lusaka, Chongwe"</f>
        <v>Lusaka, Chongwe</v>
      </c>
    </row>
    <row r="1056" spans="1:10" x14ac:dyDescent="0.2">
      <c r="A1056" s="1" t="str">
        <f>"20325-HQ-LPL"</f>
        <v>20325-HQ-LPL</v>
      </c>
      <c r="B1056" s="5" t="s">
        <v>2133</v>
      </c>
      <c r="C1056" s="5" t="s">
        <v>1297</v>
      </c>
      <c r="D1056" s="5" t="s">
        <v>102</v>
      </c>
      <c r="E1056" s="5" t="s">
        <v>72</v>
      </c>
      <c r="F1056" s="6">
        <v>42061.40625</v>
      </c>
      <c r="G1056" s="7">
        <v>42132</v>
      </c>
      <c r="H1056" s="7">
        <v>42862</v>
      </c>
      <c r="I1056" s="5" t="s">
        <v>2136</v>
      </c>
      <c r="J1056" s="5" t="str">
        <f>"North Western, Solwezi"</f>
        <v>North Western, Solwezi</v>
      </c>
    </row>
    <row r="1057" spans="1:10" x14ac:dyDescent="0.2">
      <c r="A1057" s="2" t="str">
        <f>"20332-HQ-LPL"</f>
        <v>20332-HQ-LPL</v>
      </c>
      <c r="B1057" s="8" t="s">
        <v>2137</v>
      </c>
      <c r="C1057" s="8" t="s">
        <v>1297</v>
      </c>
      <c r="D1057" s="8" t="s">
        <v>74</v>
      </c>
      <c r="E1057" s="8" t="s">
        <v>72</v>
      </c>
      <c r="F1057" s="9">
        <v>42062.384722222225</v>
      </c>
      <c r="G1057" s="10">
        <v>42104</v>
      </c>
      <c r="H1057" s="10">
        <v>42834</v>
      </c>
      <c r="I1057" s="8" t="s">
        <v>2138</v>
      </c>
      <c r="J1057" s="8" t="str">
        <f>"Lusaka, Chongwe"</f>
        <v>Lusaka, Chongwe</v>
      </c>
    </row>
    <row r="1058" spans="1:10" x14ac:dyDescent="0.2">
      <c r="A1058" s="1" t="str">
        <f>"20333-HQ-AMR"</f>
        <v>20333-HQ-AMR</v>
      </c>
      <c r="B1058" s="5" t="s">
        <v>2139</v>
      </c>
      <c r="C1058" s="5" t="s">
        <v>19</v>
      </c>
      <c r="D1058" s="5" t="s">
        <v>156</v>
      </c>
      <c r="E1058" s="5" t="s">
        <v>72</v>
      </c>
      <c r="F1058" s="6">
        <v>42062.484027777777</v>
      </c>
      <c r="G1058" s="7">
        <v>42118</v>
      </c>
      <c r="H1058" s="7">
        <v>42848</v>
      </c>
      <c r="I1058" s="5" t="s">
        <v>2140</v>
      </c>
      <c r="J1058" s="5" t="str">
        <f>"Luapula, Samfya"</f>
        <v>Luapula, Samfya</v>
      </c>
    </row>
    <row r="1059" spans="1:10" x14ac:dyDescent="0.2">
      <c r="A1059" s="2" t="str">
        <f>"20334-HQ-LPL"</f>
        <v>20334-HQ-LPL</v>
      </c>
      <c r="B1059" s="8" t="s">
        <v>2141</v>
      </c>
      <c r="C1059" s="8" t="s">
        <v>1297</v>
      </c>
      <c r="D1059" s="8" t="s">
        <v>2142</v>
      </c>
      <c r="E1059" s="8" t="s">
        <v>13</v>
      </c>
      <c r="F1059" s="9">
        <v>42062.51666666667</v>
      </c>
      <c r="G1059" s="10">
        <v>42104</v>
      </c>
      <c r="H1059" s="10">
        <v>42834</v>
      </c>
      <c r="I1059" s="8" t="s">
        <v>2143</v>
      </c>
      <c r="J1059" s="8" t="str">
        <f>"Eastern, Lundazi"</f>
        <v>Eastern, Lundazi</v>
      </c>
    </row>
    <row r="1060" spans="1:10" x14ac:dyDescent="0.2">
      <c r="A1060" s="1" t="str">
        <f>"20348-HQ-LPL"</f>
        <v>20348-HQ-LPL</v>
      </c>
      <c r="B1060" s="5" t="s">
        <v>2144</v>
      </c>
      <c r="C1060" s="5" t="s">
        <v>1297</v>
      </c>
      <c r="D1060" s="5" t="s">
        <v>2145</v>
      </c>
      <c r="E1060" s="5" t="s">
        <v>72</v>
      </c>
      <c r="F1060" s="6">
        <v>42073.37777777778</v>
      </c>
      <c r="G1060" s="7">
        <v>42110</v>
      </c>
      <c r="H1060" s="7">
        <v>42840</v>
      </c>
      <c r="I1060" s="5" t="s">
        <v>2146</v>
      </c>
      <c r="J1060" s="5" t="str">
        <f>"North Western, Mwinilunga"</f>
        <v>North Western, Mwinilunga</v>
      </c>
    </row>
    <row r="1061" spans="1:10" x14ac:dyDescent="0.2">
      <c r="A1061" s="2" t="str">
        <f>"20351-HQ-LPL"</f>
        <v>20351-HQ-LPL</v>
      </c>
      <c r="B1061" s="8" t="s">
        <v>2147</v>
      </c>
      <c r="C1061" s="8" t="s">
        <v>1297</v>
      </c>
      <c r="D1061" s="8" t="s">
        <v>2145</v>
      </c>
      <c r="E1061" s="8" t="s">
        <v>72</v>
      </c>
      <c r="F1061" s="9">
        <v>42073.396527777775</v>
      </c>
      <c r="G1061" s="10">
        <v>42110</v>
      </c>
      <c r="H1061" s="10">
        <v>42840</v>
      </c>
      <c r="I1061" s="8" t="s">
        <v>2148</v>
      </c>
      <c r="J1061" s="8" t="str">
        <f>"North Western, Mwinilunga"</f>
        <v>North Western, Mwinilunga</v>
      </c>
    </row>
    <row r="1062" spans="1:10" x14ac:dyDescent="0.2">
      <c r="A1062" s="1" t="str">
        <f>"20355-HQ-LEL"</f>
        <v>20355-HQ-LEL</v>
      </c>
      <c r="B1062" s="5" t="s">
        <v>44</v>
      </c>
      <c r="C1062" s="5" t="s">
        <v>15</v>
      </c>
      <c r="D1062" s="5" t="s">
        <v>31</v>
      </c>
      <c r="E1062" s="5" t="s">
        <v>72</v>
      </c>
      <c r="F1062" s="6">
        <v>42073.407638888886</v>
      </c>
      <c r="G1062" s="7">
        <v>42132</v>
      </c>
      <c r="H1062" s="7">
        <v>42862</v>
      </c>
      <c r="I1062" s="5" t="s">
        <v>2149</v>
      </c>
      <c r="J1062" s="5" t="str">
        <f>"North Western, Mwinilunga"</f>
        <v>North Western, Mwinilunga</v>
      </c>
    </row>
    <row r="1063" spans="1:10" x14ac:dyDescent="0.2">
      <c r="A1063" s="2" t="str">
        <f>"20356-HQ-LEL"</f>
        <v>20356-HQ-LEL</v>
      </c>
      <c r="B1063" s="8" t="s">
        <v>697</v>
      </c>
      <c r="C1063" s="8" t="s">
        <v>15</v>
      </c>
      <c r="D1063" s="8" t="s">
        <v>31</v>
      </c>
      <c r="E1063" s="8" t="s">
        <v>72</v>
      </c>
      <c r="F1063" s="9">
        <v>42073.40902777778</v>
      </c>
      <c r="G1063" s="10">
        <v>42150</v>
      </c>
      <c r="H1063" s="10">
        <v>42880</v>
      </c>
      <c r="I1063" s="8" t="s">
        <v>2150</v>
      </c>
      <c r="J1063" s="8" t="str">
        <f>"North Western, Mwinilunga"</f>
        <v>North Western, Mwinilunga</v>
      </c>
    </row>
    <row r="1064" spans="1:10" x14ac:dyDescent="0.2">
      <c r="A1064" s="1" t="str">
        <f>"20359-HQ-LPL"</f>
        <v>20359-HQ-LPL</v>
      </c>
      <c r="B1064" s="5" t="s">
        <v>2151</v>
      </c>
      <c r="C1064" s="5" t="s">
        <v>1297</v>
      </c>
      <c r="D1064" s="5" t="s">
        <v>2152</v>
      </c>
      <c r="E1064" s="5" t="s">
        <v>72</v>
      </c>
      <c r="F1064" s="6">
        <v>42073.482638888891</v>
      </c>
      <c r="G1064" s="7">
        <v>42244</v>
      </c>
      <c r="H1064" s="7">
        <v>42974</v>
      </c>
      <c r="I1064" s="5" t="s">
        <v>2153</v>
      </c>
      <c r="J1064" s="5" t="str">
        <f>"Central, Mumbwa"</f>
        <v>Central, Mumbwa</v>
      </c>
    </row>
    <row r="1065" spans="1:10" x14ac:dyDescent="0.2">
      <c r="A1065" s="2" t="str">
        <f>"20368-HQ-LPL"</f>
        <v>20368-HQ-LPL</v>
      </c>
      <c r="B1065" s="8" t="s">
        <v>93</v>
      </c>
      <c r="C1065" s="8" t="s">
        <v>1297</v>
      </c>
      <c r="D1065" s="8" t="s">
        <v>2154</v>
      </c>
      <c r="E1065" s="8" t="s">
        <v>13</v>
      </c>
      <c r="F1065" s="9">
        <v>42079.470833333333</v>
      </c>
      <c r="G1065" s="10">
        <v>42194</v>
      </c>
      <c r="H1065" s="10">
        <v>42924</v>
      </c>
      <c r="I1065" s="8" t="s">
        <v>2155</v>
      </c>
      <c r="J1065" s="8" t="str">
        <f>"Eastern, Chama; Northern, Isoka"</f>
        <v>Eastern, Chama; Northern, Isoka</v>
      </c>
    </row>
    <row r="1066" spans="1:10" x14ac:dyDescent="0.2">
      <c r="A1066" s="1" t="str">
        <f>"20378-HQ-LPL"</f>
        <v>20378-HQ-LPL</v>
      </c>
      <c r="B1066" s="5" t="s">
        <v>2156</v>
      </c>
      <c r="C1066" s="5" t="s">
        <v>1297</v>
      </c>
      <c r="D1066" s="5" t="s">
        <v>2157</v>
      </c>
      <c r="E1066" s="5" t="s">
        <v>72</v>
      </c>
      <c r="F1066" s="6">
        <v>42083.505555555559</v>
      </c>
      <c r="G1066" s="7">
        <v>42114</v>
      </c>
      <c r="H1066" s="7">
        <v>42844</v>
      </c>
      <c r="I1066" s="5" t="s">
        <v>2158</v>
      </c>
      <c r="J1066" s="5" t="str">
        <f>"Lusaka, Chongwe"</f>
        <v>Lusaka, Chongwe</v>
      </c>
    </row>
    <row r="1067" spans="1:10" x14ac:dyDescent="0.2">
      <c r="A1067" s="2" t="str">
        <f>"20388-HQ-AMR"</f>
        <v>20388-HQ-AMR</v>
      </c>
      <c r="B1067" s="8" t="s">
        <v>2159</v>
      </c>
      <c r="C1067" s="8" t="s">
        <v>19</v>
      </c>
      <c r="D1067" s="8" t="s">
        <v>40</v>
      </c>
      <c r="E1067" s="8" t="s">
        <v>72</v>
      </c>
      <c r="F1067" s="9">
        <v>42088.375</v>
      </c>
      <c r="G1067" s="10">
        <v>42233</v>
      </c>
      <c r="H1067" s="10">
        <v>42963</v>
      </c>
      <c r="I1067" s="8" t="s">
        <v>2160</v>
      </c>
      <c r="J1067" s="8" t="str">
        <f>"Northern, Chinsali"</f>
        <v>Northern, Chinsali</v>
      </c>
    </row>
    <row r="1068" spans="1:10" x14ac:dyDescent="0.2">
      <c r="A1068" s="1" t="str">
        <f>"20389-HQ-LPL"</f>
        <v>20389-HQ-LPL</v>
      </c>
      <c r="B1068" s="5" t="s">
        <v>2161</v>
      </c>
      <c r="C1068" s="5" t="s">
        <v>1297</v>
      </c>
      <c r="D1068" s="5" t="s">
        <v>38</v>
      </c>
      <c r="E1068" s="5" t="s">
        <v>72</v>
      </c>
      <c r="F1068" s="6">
        <v>42088.465277777781</v>
      </c>
      <c r="G1068" s="7">
        <v>42181</v>
      </c>
      <c r="H1068" s="7">
        <v>42911</v>
      </c>
      <c r="I1068" s="5" t="s">
        <v>2162</v>
      </c>
      <c r="J1068" s="5" t="str">
        <f>"Eastern, Nyimba"</f>
        <v>Eastern, Nyimba</v>
      </c>
    </row>
    <row r="1069" spans="1:10" x14ac:dyDescent="0.2">
      <c r="A1069" s="2" t="str">
        <f>"20391-HQ-LPL"</f>
        <v>20391-HQ-LPL</v>
      </c>
      <c r="B1069" s="8" t="s">
        <v>2119</v>
      </c>
      <c r="C1069" s="8" t="s">
        <v>1297</v>
      </c>
      <c r="D1069" s="8" t="s">
        <v>141</v>
      </c>
      <c r="E1069" s="8" t="s">
        <v>72</v>
      </c>
      <c r="F1069" s="9">
        <v>42088.493055555555</v>
      </c>
      <c r="G1069" s="10">
        <v>42181</v>
      </c>
      <c r="H1069" s="10">
        <v>42911</v>
      </c>
      <c r="I1069" s="8" t="s">
        <v>2163</v>
      </c>
      <c r="J1069" s="8" t="str">
        <f>"North Western, Solwezi"</f>
        <v>North Western, Solwezi</v>
      </c>
    </row>
    <row r="1070" spans="1:10" x14ac:dyDescent="0.2">
      <c r="A1070" s="1" t="str">
        <f>"20392-HQ-LPL"</f>
        <v>20392-HQ-LPL</v>
      </c>
      <c r="B1070" s="5" t="s">
        <v>2164</v>
      </c>
      <c r="C1070" s="5" t="s">
        <v>1297</v>
      </c>
      <c r="D1070" s="5" t="s">
        <v>1318</v>
      </c>
      <c r="E1070" s="5" t="s">
        <v>72</v>
      </c>
      <c r="F1070" s="6">
        <v>42088.515972222223</v>
      </c>
      <c r="G1070" s="7">
        <v>42186</v>
      </c>
      <c r="H1070" s="7">
        <v>42916</v>
      </c>
      <c r="I1070" s="5" t="s">
        <v>2165</v>
      </c>
      <c r="J1070" s="5" t="str">
        <f>"Luapula, Mansa, Milenge"</f>
        <v>Luapula, Mansa, Milenge</v>
      </c>
    </row>
    <row r="1071" spans="1:10" x14ac:dyDescent="0.2">
      <c r="A1071" s="2" t="str">
        <f>"20393-HQ-LPL"</f>
        <v>20393-HQ-LPL</v>
      </c>
      <c r="B1071" s="8" t="s">
        <v>2164</v>
      </c>
      <c r="C1071" s="8" t="s">
        <v>1297</v>
      </c>
      <c r="D1071" s="8" t="s">
        <v>1318</v>
      </c>
      <c r="E1071" s="8" t="s">
        <v>72</v>
      </c>
      <c r="F1071" s="9">
        <v>42088.513194444444</v>
      </c>
      <c r="G1071" s="10">
        <v>42186</v>
      </c>
      <c r="H1071" s="10">
        <v>42916</v>
      </c>
      <c r="I1071" s="8" t="s">
        <v>2166</v>
      </c>
      <c r="J1071" s="8" t="str">
        <f>"Luapula, Mansa, Milenge"</f>
        <v>Luapula, Mansa, Milenge</v>
      </c>
    </row>
    <row r="1072" spans="1:10" x14ac:dyDescent="0.2">
      <c r="A1072" s="1" t="str">
        <f>"20399-HQ-AMR"</f>
        <v>20399-HQ-AMR</v>
      </c>
      <c r="B1072" s="5" t="s">
        <v>1880</v>
      </c>
      <c r="C1072" s="5" t="s">
        <v>19</v>
      </c>
      <c r="D1072" s="5" t="s">
        <v>2167</v>
      </c>
      <c r="E1072" s="5" t="s">
        <v>72</v>
      </c>
      <c r="F1072" s="6">
        <v>42090.439583333333</v>
      </c>
      <c r="G1072" s="7">
        <v>42167</v>
      </c>
      <c r="H1072" s="7">
        <v>42897</v>
      </c>
      <c r="I1072" s="5" t="s">
        <v>2168</v>
      </c>
      <c r="J1072" s="5" t="str">
        <f>"Central, Serenje"</f>
        <v>Central, Serenje</v>
      </c>
    </row>
    <row r="1073" spans="1:10" ht="22.5" x14ac:dyDescent="0.2">
      <c r="A1073" s="2" t="str">
        <f>"20423-HQ-LPL"</f>
        <v>20423-HQ-LPL</v>
      </c>
      <c r="B1073" s="8" t="s">
        <v>158</v>
      </c>
      <c r="C1073" s="8" t="s">
        <v>1297</v>
      </c>
      <c r="D1073" s="8" t="s">
        <v>159</v>
      </c>
      <c r="E1073" s="8" t="s">
        <v>72</v>
      </c>
      <c r="F1073" s="9">
        <v>42101.387499999997</v>
      </c>
      <c r="G1073" s="10">
        <v>42173</v>
      </c>
      <c r="H1073" s="10">
        <v>42903</v>
      </c>
      <c r="I1073" s="8" t="s">
        <v>2169</v>
      </c>
      <c r="J1073" s="8" t="str">
        <f>"Southern, Choma, Monze, Namwala"</f>
        <v>Southern, Choma, Monze, Namwala</v>
      </c>
    </row>
    <row r="1074" spans="1:10" x14ac:dyDescent="0.2">
      <c r="A1074" s="1" t="str">
        <f>"20432-HQ-LPL"</f>
        <v>20432-HQ-LPL</v>
      </c>
      <c r="B1074" s="5" t="s">
        <v>112</v>
      </c>
      <c r="C1074" s="5" t="s">
        <v>1297</v>
      </c>
      <c r="D1074" s="5" t="s">
        <v>2170</v>
      </c>
      <c r="E1074" s="5" t="s">
        <v>72</v>
      </c>
      <c r="F1074" s="6">
        <v>42107.477083333331</v>
      </c>
      <c r="G1074" s="7">
        <v>42216</v>
      </c>
      <c r="H1074" s="7">
        <v>42946</v>
      </c>
      <c r="I1074" s="5" t="s">
        <v>2328</v>
      </c>
      <c r="J1074" s="5" t="str">
        <f>"Eastern, Nyimba"</f>
        <v>Eastern, Nyimba</v>
      </c>
    </row>
    <row r="1075" spans="1:10" x14ac:dyDescent="0.2">
      <c r="A1075" s="2" t="str">
        <f>" 20441-HQ-LEL"</f>
        <v xml:space="preserve"> 20441-HQ-LEL</v>
      </c>
      <c r="B1075" s="8" t="s">
        <v>432</v>
      </c>
      <c r="C1075" s="8" t="s">
        <v>15</v>
      </c>
      <c r="D1075" s="8" t="s">
        <v>102</v>
      </c>
      <c r="E1075" s="8" t="s">
        <v>489</v>
      </c>
      <c r="F1075" s="9">
        <v>42111.418055555558</v>
      </c>
      <c r="G1075" s="10">
        <v>42150</v>
      </c>
      <c r="H1075" s="10">
        <v>42880</v>
      </c>
      <c r="I1075" s="8" t="s">
        <v>2171</v>
      </c>
      <c r="J1075" s="8" t="str">
        <f>"Central, Serenje"</f>
        <v>Central, Serenje</v>
      </c>
    </row>
    <row r="1076" spans="1:10" x14ac:dyDescent="0.2">
      <c r="A1076" s="1" t="str">
        <f>"20443-HQ-LEL"</f>
        <v>20443-HQ-LEL</v>
      </c>
      <c r="B1076" s="5" t="s">
        <v>143</v>
      </c>
      <c r="C1076" s="5" t="s">
        <v>15</v>
      </c>
      <c r="D1076" s="5" t="s">
        <v>144</v>
      </c>
      <c r="E1076" s="5" t="s">
        <v>72</v>
      </c>
      <c r="F1076" s="6">
        <v>42111.51458333333</v>
      </c>
      <c r="G1076" s="7">
        <v>42156</v>
      </c>
      <c r="H1076" s="7">
        <v>42886</v>
      </c>
      <c r="I1076" s="5" t="s">
        <v>2172</v>
      </c>
      <c r="J1076" s="5" t="str">
        <f>"Southern, Sinazongwe"</f>
        <v>Southern, Sinazongwe</v>
      </c>
    </row>
    <row r="1077" spans="1:10" x14ac:dyDescent="0.2">
      <c r="A1077" s="2" t="str">
        <f>"20444-HQ-LPL"</f>
        <v>20444-HQ-LPL</v>
      </c>
      <c r="B1077" s="8" t="s">
        <v>143</v>
      </c>
      <c r="C1077" s="8" t="s">
        <v>1297</v>
      </c>
      <c r="D1077" s="8" t="s">
        <v>144</v>
      </c>
      <c r="E1077" s="8" t="s">
        <v>72</v>
      </c>
      <c r="F1077" s="9">
        <v>42111.515972222223</v>
      </c>
      <c r="G1077" s="10">
        <v>42156</v>
      </c>
      <c r="H1077" s="10">
        <v>42886</v>
      </c>
      <c r="I1077" s="8" t="s">
        <v>2173</v>
      </c>
      <c r="J1077" s="8" t="str">
        <f>"Southern, Sinazongwe"</f>
        <v>Southern, Sinazongwe</v>
      </c>
    </row>
    <row r="1078" spans="1:10" x14ac:dyDescent="0.2">
      <c r="A1078" s="1" t="str">
        <f>"20445-HQ-LPL"</f>
        <v>20445-HQ-LPL</v>
      </c>
      <c r="B1078" s="5" t="s">
        <v>143</v>
      </c>
      <c r="C1078" s="5" t="s">
        <v>1297</v>
      </c>
      <c r="D1078" s="5" t="s">
        <v>144</v>
      </c>
      <c r="E1078" s="5" t="s">
        <v>72</v>
      </c>
      <c r="F1078" s="6">
        <v>42111.517361111109</v>
      </c>
      <c r="G1078" s="7">
        <v>42156</v>
      </c>
      <c r="H1078" s="7">
        <v>42886</v>
      </c>
      <c r="I1078" s="5" t="s">
        <v>2174</v>
      </c>
      <c r="J1078" s="5" t="str">
        <f>"Southern, Sinazongwe"</f>
        <v>Southern, Sinazongwe</v>
      </c>
    </row>
    <row r="1079" spans="1:10" x14ac:dyDescent="0.2">
      <c r="A1079" s="2" t="str">
        <f>"20446-HQ-LPL"</f>
        <v>20446-HQ-LPL</v>
      </c>
      <c r="B1079" s="8" t="s">
        <v>143</v>
      </c>
      <c r="C1079" s="8" t="s">
        <v>1297</v>
      </c>
      <c r="D1079" s="8" t="s">
        <v>144</v>
      </c>
      <c r="E1079" s="8" t="s">
        <v>72</v>
      </c>
      <c r="F1079" s="9">
        <v>42111.518750000003</v>
      </c>
      <c r="G1079" s="10">
        <v>42156</v>
      </c>
      <c r="H1079" s="10">
        <v>42886</v>
      </c>
      <c r="I1079" s="8" t="s">
        <v>2175</v>
      </c>
      <c r="J1079" s="8" t="str">
        <f>"Southern, Sinazongwe"</f>
        <v>Southern, Sinazongwe</v>
      </c>
    </row>
    <row r="1080" spans="1:10" ht="22.5" x14ac:dyDescent="0.2">
      <c r="A1080" s="1" t="str">
        <f>"20449-HQ-LPL"</f>
        <v>20449-HQ-LPL</v>
      </c>
      <c r="B1080" s="5" t="s">
        <v>146</v>
      </c>
      <c r="C1080" s="5" t="s">
        <v>1297</v>
      </c>
      <c r="D1080" s="5" t="s">
        <v>147</v>
      </c>
      <c r="E1080" s="5" t="s">
        <v>13</v>
      </c>
      <c r="F1080" s="6">
        <v>42111.522916666669</v>
      </c>
      <c r="G1080" s="7">
        <v>42163</v>
      </c>
      <c r="H1080" s="7">
        <v>42893</v>
      </c>
      <c r="I1080" s="5" t="s">
        <v>2176</v>
      </c>
      <c r="J1080" s="5" t="str">
        <f>"Lusaka, Chongwe, Kafue"</f>
        <v>Lusaka, Chongwe, Kafue</v>
      </c>
    </row>
    <row r="1081" spans="1:10" x14ac:dyDescent="0.2">
      <c r="A1081" s="2" t="str">
        <f>"20479-HQ-LPL"</f>
        <v>20479-HQ-LPL</v>
      </c>
      <c r="B1081" s="8" t="s">
        <v>2177</v>
      </c>
      <c r="C1081" s="8" t="s">
        <v>1297</v>
      </c>
      <c r="D1081" s="8" t="s">
        <v>31</v>
      </c>
      <c r="E1081" s="8" t="s">
        <v>72</v>
      </c>
      <c r="F1081" s="9">
        <v>42124.481249999997</v>
      </c>
      <c r="G1081" s="10">
        <v>42216</v>
      </c>
      <c r="H1081" s="10">
        <v>42946</v>
      </c>
      <c r="I1081" s="8" t="s">
        <v>2178</v>
      </c>
      <c r="J1081" s="8" t="str">
        <f>"Southern, Gwembe, Sinazongwe"</f>
        <v>Southern, Gwembe, Sinazongwe</v>
      </c>
    </row>
    <row r="1082" spans="1:10" x14ac:dyDescent="0.2">
      <c r="A1082" s="1" t="str">
        <f>"20484-HQ-LPL"</f>
        <v>20484-HQ-LPL</v>
      </c>
      <c r="B1082" s="5" t="s">
        <v>93</v>
      </c>
      <c r="C1082" s="5" t="s">
        <v>1297</v>
      </c>
      <c r="D1082" s="5" t="s">
        <v>2179</v>
      </c>
      <c r="E1082" s="5" t="s">
        <v>72</v>
      </c>
      <c r="F1082" s="6">
        <v>42128.381944444445</v>
      </c>
      <c r="G1082" s="7">
        <v>42235</v>
      </c>
      <c r="H1082" s="7">
        <v>42965</v>
      </c>
      <c r="I1082" s="5" t="s">
        <v>2180</v>
      </c>
      <c r="J1082" s="5" t="str">
        <f>"North Western, Kasempa"</f>
        <v>North Western, Kasempa</v>
      </c>
    </row>
    <row r="1083" spans="1:10" x14ac:dyDescent="0.2">
      <c r="A1083" s="2" t="str">
        <f>"20496-HQ-LPL"</f>
        <v>20496-HQ-LPL</v>
      </c>
      <c r="B1083" s="8" t="s">
        <v>2181</v>
      </c>
      <c r="C1083" s="8" t="s">
        <v>1297</v>
      </c>
      <c r="D1083" s="8" t="s">
        <v>2182</v>
      </c>
      <c r="E1083" s="8" t="s">
        <v>489</v>
      </c>
      <c r="F1083" s="9">
        <v>42130.466666666667</v>
      </c>
      <c r="G1083" s="10">
        <v>42184</v>
      </c>
      <c r="H1083" s="10">
        <v>42914</v>
      </c>
      <c r="I1083" s="8" t="s">
        <v>2183</v>
      </c>
      <c r="J1083" s="8" t="str">
        <f>"North Western, Mufumbwe"</f>
        <v>North Western, Mufumbwe</v>
      </c>
    </row>
    <row r="1084" spans="1:10" x14ac:dyDescent="0.2">
      <c r="A1084" s="1" t="str">
        <f>"20500-HQ-LPL"</f>
        <v>20500-HQ-LPL</v>
      </c>
      <c r="B1084" s="5" t="s">
        <v>2184</v>
      </c>
      <c r="C1084" s="5" t="s">
        <v>1297</v>
      </c>
      <c r="D1084" s="5" t="s">
        <v>2185</v>
      </c>
      <c r="E1084" s="5" t="s">
        <v>72</v>
      </c>
      <c r="F1084" s="6">
        <v>42131.505555555559</v>
      </c>
      <c r="G1084" s="7">
        <v>42209</v>
      </c>
      <c r="H1084" s="7">
        <v>42939</v>
      </c>
      <c r="I1084" s="5" t="s">
        <v>2186</v>
      </c>
      <c r="J1084" s="5" t="str">
        <f>"Western, Kaoma, Lukulu"</f>
        <v>Western, Kaoma, Lukulu</v>
      </c>
    </row>
    <row r="1085" spans="1:10" x14ac:dyDescent="0.2">
      <c r="A1085" s="2" t="str">
        <f>"20530-HQ-AMR"</f>
        <v>20530-HQ-AMR</v>
      </c>
      <c r="B1085" s="8" t="s">
        <v>1880</v>
      </c>
      <c r="C1085" s="8" t="s">
        <v>19</v>
      </c>
      <c r="D1085" s="8" t="s">
        <v>2187</v>
      </c>
      <c r="E1085" s="8" t="s">
        <v>72</v>
      </c>
      <c r="F1085" s="9">
        <v>42143.386111111111</v>
      </c>
      <c r="G1085" s="10">
        <v>42187</v>
      </c>
      <c r="H1085" s="10">
        <v>42917</v>
      </c>
      <c r="I1085" s="8" t="s">
        <v>2188</v>
      </c>
      <c r="J1085" s="8" t="str">
        <f>"Central, Serenje"</f>
        <v>Central, Serenje</v>
      </c>
    </row>
    <row r="1086" spans="1:10" x14ac:dyDescent="0.2">
      <c r="A1086" s="1" t="str">
        <f>"20531-HQ-AMR"</f>
        <v>20531-HQ-AMR</v>
      </c>
      <c r="B1086" s="5" t="s">
        <v>2189</v>
      </c>
      <c r="C1086" s="5" t="s">
        <v>19</v>
      </c>
      <c r="D1086" s="5" t="s">
        <v>2190</v>
      </c>
      <c r="E1086" s="5" t="s">
        <v>72</v>
      </c>
      <c r="F1086" s="6">
        <v>42144.423611111109</v>
      </c>
      <c r="G1086" s="7">
        <v>42201</v>
      </c>
      <c r="H1086" s="7">
        <v>42931</v>
      </c>
      <c r="I1086" s="5" t="s">
        <v>2191</v>
      </c>
      <c r="J1086" s="5" t="str">
        <f>"Southern, Choma"</f>
        <v>Southern, Choma</v>
      </c>
    </row>
    <row r="1087" spans="1:10" ht="22.5" x14ac:dyDescent="0.2">
      <c r="A1087" s="2" t="str">
        <f>"20532-HQ-AMR"</f>
        <v>20532-HQ-AMR</v>
      </c>
      <c r="B1087" s="8" t="s">
        <v>2192</v>
      </c>
      <c r="C1087" s="8" t="s">
        <v>19</v>
      </c>
      <c r="D1087" s="8" t="s">
        <v>2193</v>
      </c>
      <c r="E1087" s="8" t="s">
        <v>72</v>
      </c>
      <c r="F1087" s="9">
        <v>42144.428333333337</v>
      </c>
      <c r="G1087" s="10">
        <v>42201</v>
      </c>
      <c r="H1087" s="10">
        <v>42931</v>
      </c>
      <c r="I1087" s="8" t="s">
        <v>2194</v>
      </c>
      <c r="J1087" s="8" t="str">
        <f>"Southern, Choma"</f>
        <v>Southern, Choma</v>
      </c>
    </row>
    <row r="1088" spans="1:10" x14ac:dyDescent="0.2">
      <c r="A1088" s="1" t="str">
        <f>"20534-HQ-LPL"</f>
        <v>20534-HQ-LPL</v>
      </c>
      <c r="B1088" s="5" t="s">
        <v>2119</v>
      </c>
      <c r="C1088" s="5" t="s">
        <v>1297</v>
      </c>
      <c r="D1088" s="5" t="s">
        <v>141</v>
      </c>
      <c r="E1088" s="5" t="s">
        <v>72</v>
      </c>
      <c r="F1088" s="6">
        <v>42144.481944444444</v>
      </c>
      <c r="G1088" s="7">
        <v>42181</v>
      </c>
      <c r="H1088" s="7">
        <v>42911</v>
      </c>
      <c r="I1088" s="5" t="s">
        <v>2195</v>
      </c>
      <c r="J1088" s="5" t="str">
        <f>"North Western, Solwezi"</f>
        <v>North Western, Solwezi</v>
      </c>
    </row>
    <row r="1089" spans="1:10" x14ac:dyDescent="0.2">
      <c r="A1089" s="2" t="str">
        <f>"20556-HQ-LPL"</f>
        <v>20556-HQ-LPL</v>
      </c>
      <c r="B1089" s="8" t="s">
        <v>1008</v>
      </c>
      <c r="C1089" s="8" t="s">
        <v>1297</v>
      </c>
      <c r="D1089" s="8" t="s">
        <v>156</v>
      </c>
      <c r="E1089" s="8" t="s">
        <v>72</v>
      </c>
      <c r="F1089" s="9">
        <v>42156.432638888888</v>
      </c>
      <c r="G1089" s="10">
        <v>42179</v>
      </c>
      <c r="H1089" s="10">
        <v>42909</v>
      </c>
      <c r="I1089" s="8" t="s">
        <v>2196</v>
      </c>
      <c r="J1089" s="8" t="str">
        <f>"Luapula, Mansa, Mwense"</f>
        <v>Luapula, Mansa, Mwense</v>
      </c>
    </row>
    <row r="1090" spans="1:10" x14ac:dyDescent="0.2">
      <c r="A1090" s="1" t="str">
        <f>"20559-HQ-AMR"</f>
        <v>20559-HQ-AMR</v>
      </c>
      <c r="B1090" s="5" t="s">
        <v>184</v>
      </c>
      <c r="C1090" s="5" t="s">
        <v>19</v>
      </c>
      <c r="D1090" s="5" t="s">
        <v>185</v>
      </c>
      <c r="E1090" s="5" t="s">
        <v>13</v>
      </c>
      <c r="F1090" s="6">
        <v>42156.512499999997</v>
      </c>
      <c r="G1090" s="7">
        <v>42525</v>
      </c>
      <c r="H1090" s="7">
        <v>43254</v>
      </c>
      <c r="I1090" s="5" t="s">
        <v>186</v>
      </c>
      <c r="J1090" s="5" t="str">
        <f>"Central, Serenje"</f>
        <v>Central, Serenje</v>
      </c>
    </row>
    <row r="1091" spans="1:10" x14ac:dyDescent="0.2">
      <c r="A1091" s="2" t="str">
        <f>"20573-HQ-AMR"</f>
        <v>20573-HQ-AMR</v>
      </c>
      <c r="B1091" s="8" t="s">
        <v>2197</v>
      </c>
      <c r="C1091" s="8" t="s">
        <v>19</v>
      </c>
      <c r="D1091" s="8" t="s">
        <v>167</v>
      </c>
      <c r="E1091" s="8" t="s">
        <v>72</v>
      </c>
      <c r="F1091" s="9">
        <v>42159.423611111109</v>
      </c>
      <c r="G1091" s="10">
        <v>42237</v>
      </c>
      <c r="H1091" s="10">
        <v>42967</v>
      </c>
      <c r="I1091" s="8" t="s">
        <v>2198</v>
      </c>
      <c r="J1091" s="8" t="str">
        <f>"Lusaka, Kafue"</f>
        <v>Lusaka, Kafue</v>
      </c>
    </row>
    <row r="1092" spans="1:10" x14ac:dyDescent="0.2">
      <c r="A1092" s="1" t="str">
        <f>"20589-HQ-AMR"</f>
        <v>20589-HQ-AMR</v>
      </c>
      <c r="B1092" s="5" t="s">
        <v>2199</v>
      </c>
      <c r="C1092" s="5" t="s">
        <v>19</v>
      </c>
      <c r="D1092" s="5" t="s">
        <v>233</v>
      </c>
      <c r="E1092" s="5" t="s">
        <v>72</v>
      </c>
      <c r="F1092" s="6">
        <v>42172.479861111111</v>
      </c>
      <c r="G1092" s="7">
        <v>42194</v>
      </c>
      <c r="H1092" s="7">
        <v>42924</v>
      </c>
      <c r="I1092" s="5" t="s">
        <v>2200</v>
      </c>
      <c r="J1092" s="5" t="str">
        <f>"Central, Mkushi"</f>
        <v>Central, Mkushi</v>
      </c>
    </row>
    <row r="1093" spans="1:10" x14ac:dyDescent="0.2">
      <c r="A1093" s="2" t="str">
        <f>"20591-HQ-LPL"</f>
        <v>20591-HQ-LPL</v>
      </c>
      <c r="B1093" s="8" t="s">
        <v>1694</v>
      </c>
      <c r="C1093" s="8" t="s">
        <v>1297</v>
      </c>
      <c r="D1093" s="8" t="s">
        <v>2201</v>
      </c>
      <c r="E1093" s="8" t="s">
        <v>13</v>
      </c>
      <c r="F1093" s="9">
        <v>42173.455555555556</v>
      </c>
      <c r="G1093" s="10">
        <v>42230</v>
      </c>
      <c r="H1093" s="10">
        <v>42960</v>
      </c>
      <c r="I1093" s="8" t="s">
        <v>2202</v>
      </c>
      <c r="J1093" s="8" t="str">
        <f>"Central, Mumbwa"</f>
        <v>Central, Mumbwa</v>
      </c>
    </row>
    <row r="1094" spans="1:10" x14ac:dyDescent="0.2">
      <c r="A1094" s="1" t="str">
        <f>"20602-HQ-AMR"</f>
        <v>20602-HQ-AMR</v>
      </c>
      <c r="B1094" s="5" t="s">
        <v>2203</v>
      </c>
      <c r="C1094" s="5" t="s">
        <v>19</v>
      </c>
      <c r="D1094" s="5" t="s">
        <v>45</v>
      </c>
      <c r="E1094" s="5" t="s">
        <v>72</v>
      </c>
      <c r="F1094" s="6">
        <v>42180.37777777778</v>
      </c>
      <c r="G1094" s="7">
        <v>42278</v>
      </c>
      <c r="H1094" s="7">
        <v>43008</v>
      </c>
      <c r="I1094" s="5" t="s">
        <v>885</v>
      </c>
      <c r="J1094" s="5" t="str">
        <f>"North Western, Solwezi"</f>
        <v>North Western, Solwezi</v>
      </c>
    </row>
    <row r="1095" spans="1:10" x14ac:dyDescent="0.2">
      <c r="A1095" s="2" t="str">
        <f>"20603-HQ-AMR"</f>
        <v>20603-HQ-AMR</v>
      </c>
      <c r="B1095" s="8" t="s">
        <v>2204</v>
      </c>
      <c r="C1095" s="8" t="s">
        <v>19</v>
      </c>
      <c r="D1095" s="8" t="s">
        <v>487</v>
      </c>
      <c r="E1095" s="8" t="s">
        <v>72</v>
      </c>
      <c r="F1095" s="9">
        <v>42180.447222222225</v>
      </c>
      <c r="G1095" s="10">
        <v>42234</v>
      </c>
      <c r="H1095" s="10">
        <v>42964</v>
      </c>
      <c r="I1095" s="8" t="s">
        <v>2205</v>
      </c>
      <c r="J1095" s="8" t="str">
        <f>"Central, Serenje"</f>
        <v>Central, Serenje</v>
      </c>
    </row>
    <row r="1096" spans="1:10" x14ac:dyDescent="0.2">
      <c r="A1096" s="1" t="str">
        <f>" 20606-HQ-LEL"</f>
        <v xml:space="preserve"> 20606-HQ-LEL</v>
      </c>
      <c r="B1096" s="5" t="s">
        <v>2206</v>
      </c>
      <c r="C1096" s="5" t="s">
        <v>15</v>
      </c>
      <c r="D1096" s="5" t="s">
        <v>2207</v>
      </c>
      <c r="E1096" s="5" t="s">
        <v>13</v>
      </c>
      <c r="F1096" s="6">
        <v>42181.390972222223</v>
      </c>
      <c r="G1096" s="7">
        <v>42222</v>
      </c>
      <c r="H1096" s="7">
        <v>42952</v>
      </c>
      <c r="I1096" s="5" t="s">
        <v>2208</v>
      </c>
      <c r="J1096" s="5" t="str">
        <f>"North Western, Kasempa"</f>
        <v>North Western, Kasempa</v>
      </c>
    </row>
    <row r="1097" spans="1:10" x14ac:dyDescent="0.2">
      <c r="A1097" s="2" t="str">
        <f>"20612-HQ-LPL"</f>
        <v>20612-HQ-LPL</v>
      </c>
      <c r="B1097" s="8" t="s">
        <v>2209</v>
      </c>
      <c r="C1097" s="8" t="s">
        <v>1297</v>
      </c>
      <c r="D1097" s="8" t="s">
        <v>38</v>
      </c>
      <c r="E1097" s="8" t="s">
        <v>72</v>
      </c>
      <c r="F1097" s="9">
        <v>42185.411805555559</v>
      </c>
      <c r="G1097" s="10">
        <v>42228</v>
      </c>
      <c r="H1097" s="10">
        <v>42958</v>
      </c>
      <c r="I1097" s="8" t="s">
        <v>2210</v>
      </c>
      <c r="J1097" s="8" t="str">
        <f>"Southern, Sinazongwe"</f>
        <v>Southern, Sinazongwe</v>
      </c>
    </row>
    <row r="1098" spans="1:10" x14ac:dyDescent="0.2">
      <c r="A1098" s="1" t="str">
        <f>"20649-HQ-LPL"</f>
        <v>20649-HQ-LPL</v>
      </c>
      <c r="B1098" s="5" t="s">
        <v>2211</v>
      </c>
      <c r="C1098" s="5" t="s">
        <v>1297</v>
      </c>
      <c r="D1098" s="5" t="s">
        <v>60</v>
      </c>
      <c r="E1098" s="5" t="s">
        <v>13</v>
      </c>
      <c r="F1098" s="6">
        <v>42206.420138888891</v>
      </c>
      <c r="G1098" s="7">
        <v>42222</v>
      </c>
      <c r="H1098" s="7">
        <v>42952</v>
      </c>
      <c r="I1098" s="5" t="s">
        <v>2228</v>
      </c>
      <c r="J1098" s="5" t="str">
        <f>"Central, Kapiri Mposhi, Mkushi"</f>
        <v>Central, Kapiri Mposhi, Mkushi</v>
      </c>
    </row>
    <row r="1099" spans="1:10" x14ac:dyDescent="0.2">
      <c r="A1099" s="2" t="str">
        <f>"20650-HQ-AMR"</f>
        <v>20650-HQ-AMR</v>
      </c>
      <c r="B1099" s="8" t="s">
        <v>227</v>
      </c>
      <c r="C1099" s="8" t="s">
        <v>19</v>
      </c>
      <c r="D1099" s="8" t="s">
        <v>200</v>
      </c>
      <c r="E1099" s="8" t="s">
        <v>72</v>
      </c>
      <c r="F1099" s="9">
        <v>42206.456944444442</v>
      </c>
      <c r="G1099" s="10">
        <v>42489</v>
      </c>
      <c r="H1099" s="10">
        <v>43218</v>
      </c>
      <c r="I1099" s="8" t="s">
        <v>228</v>
      </c>
      <c r="J1099" s="8" t="str">
        <f>"Eastern, Nyimba"</f>
        <v>Eastern, Nyimba</v>
      </c>
    </row>
    <row r="1100" spans="1:10" x14ac:dyDescent="0.2">
      <c r="A1100" s="1" t="str">
        <f>"20660-HQ-LPL"</f>
        <v>20660-HQ-LPL</v>
      </c>
      <c r="B1100" s="5" t="s">
        <v>2212</v>
      </c>
      <c r="C1100" s="5" t="s">
        <v>1297</v>
      </c>
      <c r="D1100" s="5" t="s">
        <v>1754</v>
      </c>
      <c r="E1100" s="5" t="s">
        <v>72</v>
      </c>
      <c r="F1100" s="6">
        <v>42208.527083333334</v>
      </c>
      <c r="G1100" s="7">
        <v>42234</v>
      </c>
      <c r="H1100" s="7">
        <v>42964</v>
      </c>
      <c r="I1100" s="5" t="s">
        <v>2213</v>
      </c>
      <c r="J1100" s="5" t="str">
        <f>"North Western, Mwinilunga"</f>
        <v>North Western, Mwinilunga</v>
      </c>
    </row>
    <row r="1101" spans="1:10" ht="22.5" x14ac:dyDescent="0.2">
      <c r="A1101" s="2" t="str">
        <f>"20698-HQ-AMR"</f>
        <v>20698-HQ-AMR</v>
      </c>
      <c r="B1101" s="8" t="s">
        <v>272</v>
      </c>
      <c r="C1101" s="8" t="s">
        <v>19</v>
      </c>
      <c r="D1101" s="8" t="s">
        <v>219</v>
      </c>
      <c r="E1101" s="8" t="s">
        <v>13</v>
      </c>
      <c r="F1101" s="9">
        <v>42221.411805555559</v>
      </c>
      <c r="G1101" s="10">
        <v>42496</v>
      </c>
      <c r="H1101" s="10">
        <v>43225</v>
      </c>
      <c r="I1101" s="8" t="s">
        <v>273</v>
      </c>
      <c r="J1101" s="8" t="str">
        <f>"Copperbelt, Kalulushi"</f>
        <v>Copperbelt, Kalulushi</v>
      </c>
    </row>
    <row r="1102" spans="1:10" x14ac:dyDescent="0.2">
      <c r="A1102" s="1" t="str">
        <f>"20701-HQ-AMR"</f>
        <v>20701-HQ-AMR</v>
      </c>
      <c r="B1102" s="5" t="s">
        <v>274</v>
      </c>
      <c r="C1102" s="5" t="s">
        <v>19</v>
      </c>
      <c r="D1102" s="5" t="s">
        <v>40</v>
      </c>
      <c r="E1102" s="5" t="s">
        <v>72</v>
      </c>
      <c r="F1102" s="6">
        <v>42222.397222222222</v>
      </c>
      <c r="G1102" s="7">
        <v>42480</v>
      </c>
      <c r="H1102" s="7">
        <v>43209</v>
      </c>
      <c r="I1102" s="5" t="s">
        <v>275</v>
      </c>
      <c r="J1102" s="5" t="str">
        <f>"North Western, Solwezi"</f>
        <v>North Western, Solwezi</v>
      </c>
    </row>
    <row r="1103" spans="1:10" x14ac:dyDescent="0.2">
      <c r="A1103" s="2" t="str">
        <f>"20715-HQ-AMR"</f>
        <v>20715-HQ-AMR</v>
      </c>
      <c r="B1103" s="8" t="s">
        <v>291</v>
      </c>
      <c r="C1103" s="8" t="s">
        <v>19</v>
      </c>
      <c r="D1103" s="8" t="s">
        <v>285</v>
      </c>
      <c r="E1103" s="8" t="s">
        <v>72</v>
      </c>
      <c r="F1103" s="9">
        <v>42227.518750000003</v>
      </c>
      <c r="G1103" s="10">
        <v>42467</v>
      </c>
      <c r="H1103" s="10">
        <v>43196</v>
      </c>
      <c r="I1103" s="8" t="s">
        <v>292</v>
      </c>
      <c r="J1103" s="8" t="str">
        <f>"Central, Serenje"</f>
        <v>Central, Serenje</v>
      </c>
    </row>
    <row r="1104" spans="1:10" x14ac:dyDescent="0.2">
      <c r="A1104" s="1" t="str">
        <f>"20716-HQ-AMR"</f>
        <v>20716-HQ-AMR</v>
      </c>
      <c r="B1104" s="5" t="s">
        <v>293</v>
      </c>
      <c r="C1104" s="5" t="s">
        <v>19</v>
      </c>
      <c r="D1104" s="5" t="s">
        <v>285</v>
      </c>
      <c r="E1104" s="5" t="s">
        <v>72</v>
      </c>
      <c r="F1104" s="6">
        <v>42227.520138888889</v>
      </c>
      <c r="G1104" s="7">
        <v>42488</v>
      </c>
      <c r="H1104" s="7">
        <v>43217</v>
      </c>
      <c r="I1104" s="5" t="s">
        <v>292</v>
      </c>
      <c r="J1104" s="5" t="str">
        <f>"Central, Serenje"</f>
        <v>Central, Serenje</v>
      </c>
    </row>
    <row r="1105" spans="1:10" x14ac:dyDescent="0.2">
      <c r="A1105" s="2" t="str">
        <f>"20740-HQ-AMR"</f>
        <v>20740-HQ-AMR</v>
      </c>
      <c r="B1105" s="8" t="s">
        <v>322</v>
      </c>
      <c r="C1105" s="8" t="s">
        <v>19</v>
      </c>
      <c r="D1105" s="8" t="s">
        <v>323</v>
      </c>
      <c r="E1105" s="8" t="s">
        <v>72</v>
      </c>
      <c r="F1105" s="9">
        <v>42235.456250000003</v>
      </c>
      <c r="G1105" s="10">
        <v>42494</v>
      </c>
      <c r="H1105" s="10">
        <v>43223</v>
      </c>
      <c r="I1105" s="8" t="s">
        <v>324</v>
      </c>
      <c r="J1105" s="8" t="str">
        <f>"Copperbelt, Kalulushi"</f>
        <v>Copperbelt, Kalulushi</v>
      </c>
    </row>
    <row r="1106" spans="1:10" x14ac:dyDescent="0.2">
      <c r="A1106" s="1" t="str">
        <f>"20743-HQ-AMR"</f>
        <v>20743-HQ-AMR</v>
      </c>
      <c r="B1106" s="5" t="s">
        <v>329</v>
      </c>
      <c r="C1106" s="5" t="s">
        <v>19</v>
      </c>
      <c r="D1106" s="5" t="s">
        <v>71</v>
      </c>
      <c r="E1106" s="5" t="s">
        <v>72</v>
      </c>
      <c r="F1106" s="6">
        <v>42235.504861111112</v>
      </c>
      <c r="G1106" s="7">
        <v>42488</v>
      </c>
      <c r="H1106" s="7">
        <v>43217</v>
      </c>
      <c r="I1106" s="5" t="s">
        <v>330</v>
      </c>
      <c r="J1106" s="5" t="str">
        <f>"Eastern, Lundazi"</f>
        <v>Eastern, Lundazi</v>
      </c>
    </row>
    <row r="1107" spans="1:10" x14ac:dyDescent="0.2">
      <c r="A1107" s="2" t="str">
        <f>"20755-HQ-AMR"</f>
        <v>20755-HQ-AMR</v>
      </c>
      <c r="B1107" s="8" t="s">
        <v>352</v>
      </c>
      <c r="C1107" s="8" t="s">
        <v>19</v>
      </c>
      <c r="D1107" s="8" t="s">
        <v>353</v>
      </c>
      <c r="E1107" s="8" t="s">
        <v>13</v>
      </c>
      <c r="F1107" s="9">
        <v>42241.46597222222</v>
      </c>
      <c r="G1107" s="10">
        <v>42513</v>
      </c>
      <c r="H1107" s="10">
        <v>43242</v>
      </c>
      <c r="I1107" s="8" t="s">
        <v>354</v>
      </c>
      <c r="J1107" s="8" t="str">
        <f>"Copperbelt, Luanshya"</f>
        <v>Copperbelt, Luanshya</v>
      </c>
    </row>
    <row r="1108" spans="1:10" x14ac:dyDescent="0.2">
      <c r="A1108" s="1" t="str">
        <f>"20767-HQ-AMR"</f>
        <v>20767-HQ-AMR</v>
      </c>
      <c r="B1108" s="5" t="s">
        <v>368</v>
      </c>
      <c r="C1108" s="5" t="s">
        <v>19</v>
      </c>
      <c r="D1108" s="5" t="s">
        <v>369</v>
      </c>
      <c r="E1108" s="5" t="s">
        <v>72</v>
      </c>
      <c r="F1108" s="6">
        <v>42244.410416666666</v>
      </c>
      <c r="G1108" s="7">
        <v>42496</v>
      </c>
      <c r="H1108" s="7">
        <v>43225</v>
      </c>
      <c r="I1108" s="5" t="s">
        <v>370</v>
      </c>
      <c r="J1108" s="5" t="str">
        <f>"Eastern, Mambwe"</f>
        <v>Eastern, Mambwe</v>
      </c>
    </row>
    <row r="1109" spans="1:10" x14ac:dyDescent="0.2">
      <c r="A1109" s="2" t="str">
        <f>"20812-HQ-AMR"</f>
        <v>20812-HQ-AMR</v>
      </c>
      <c r="B1109" s="8" t="s">
        <v>415</v>
      </c>
      <c r="C1109" s="8" t="s">
        <v>19</v>
      </c>
      <c r="D1109" s="8" t="s">
        <v>416</v>
      </c>
      <c r="E1109" s="8" t="s">
        <v>13</v>
      </c>
      <c r="F1109" s="9">
        <v>42408.438194444447</v>
      </c>
      <c r="G1109" s="10">
        <v>42521</v>
      </c>
      <c r="H1109" s="10">
        <v>43250</v>
      </c>
      <c r="I1109" s="8" t="s">
        <v>417</v>
      </c>
      <c r="J1109" s="8" t="str">
        <f>"Central, Mkushi"</f>
        <v>Central, Mkushi</v>
      </c>
    </row>
    <row r="1110" spans="1:10" x14ac:dyDescent="0.2">
      <c r="A1110" s="1" t="str">
        <f>"20875-HQ-AMR"</f>
        <v>20875-HQ-AMR</v>
      </c>
      <c r="B1110" s="5" t="s">
        <v>415</v>
      </c>
      <c r="C1110" s="5" t="s">
        <v>19</v>
      </c>
      <c r="D1110" s="5" t="s">
        <v>480</v>
      </c>
      <c r="E1110" s="5" t="s">
        <v>13</v>
      </c>
      <c r="F1110" s="6">
        <v>42417.440972222219</v>
      </c>
      <c r="G1110" s="7">
        <v>42521</v>
      </c>
      <c r="H1110" s="7">
        <v>43250</v>
      </c>
      <c r="I1110" s="5" t="s">
        <v>481</v>
      </c>
      <c r="J1110" s="5" t="str">
        <f>"Central, Mkushi"</f>
        <v>Central, Mkushi</v>
      </c>
    </row>
    <row r="1111" spans="1:10" x14ac:dyDescent="0.2">
      <c r="A1111" s="2" t="str">
        <f>"20883-HQ-AMR"</f>
        <v>20883-HQ-AMR</v>
      </c>
      <c r="B1111" s="8" t="s">
        <v>486</v>
      </c>
      <c r="C1111" s="8" t="s">
        <v>19</v>
      </c>
      <c r="D1111" s="8" t="s">
        <v>487</v>
      </c>
      <c r="E1111" s="8" t="s">
        <v>13</v>
      </c>
      <c r="F1111" s="9">
        <v>42418.478472222225</v>
      </c>
      <c r="G1111" s="10">
        <v>42500</v>
      </c>
      <c r="H1111" s="10">
        <v>43229</v>
      </c>
      <c r="I1111" s="8" t="s">
        <v>2234</v>
      </c>
      <c r="J1111" s="8" t="str">
        <f>"Copperbelt, Mpongwe"</f>
        <v>Copperbelt, Mpongwe</v>
      </c>
    </row>
    <row r="1112" spans="1:10" x14ac:dyDescent="0.2">
      <c r="A1112" s="1" t="str">
        <f>"20884-HQ-AMR"</f>
        <v>20884-HQ-AMR</v>
      </c>
      <c r="B1112" s="5" t="s">
        <v>488</v>
      </c>
      <c r="C1112" s="5" t="s">
        <v>19</v>
      </c>
      <c r="D1112" s="5" t="s">
        <v>40</v>
      </c>
      <c r="E1112" s="5" t="s">
        <v>489</v>
      </c>
      <c r="F1112" s="6">
        <v>42419.388194444444</v>
      </c>
      <c r="G1112" s="7">
        <v>42495</v>
      </c>
      <c r="H1112" s="7">
        <v>43224</v>
      </c>
      <c r="I1112" s="5" t="s">
        <v>2234</v>
      </c>
      <c r="J1112" s="5" t="str">
        <f>"North Western, Kasempa"</f>
        <v>North Western, Kasempa</v>
      </c>
    </row>
    <row r="1113" spans="1:10" x14ac:dyDescent="0.2">
      <c r="A1113" s="2" t="str">
        <f>"20885-HQ-AMR"</f>
        <v>20885-HQ-AMR</v>
      </c>
      <c r="B1113" s="8" t="s">
        <v>488</v>
      </c>
      <c r="C1113" s="8" t="s">
        <v>19</v>
      </c>
      <c r="D1113" s="8" t="s">
        <v>487</v>
      </c>
      <c r="E1113" s="8" t="s">
        <v>13</v>
      </c>
      <c r="F1113" s="9">
        <v>42419.392361111109</v>
      </c>
      <c r="G1113" s="10">
        <v>42495</v>
      </c>
      <c r="H1113" s="10">
        <v>43224</v>
      </c>
      <c r="I1113" s="8" t="s">
        <v>2234</v>
      </c>
      <c r="J1113" s="8" t="str">
        <f>"North Western, Kasempa"</f>
        <v>North Western, Kasempa</v>
      </c>
    </row>
    <row r="1114" spans="1:10" x14ac:dyDescent="0.2">
      <c r="A1114" s="1" t="str">
        <f>"20934-HQ-SML"</f>
        <v>20934-HQ-SML</v>
      </c>
      <c r="B1114" s="5" t="s">
        <v>2214</v>
      </c>
      <c r="C1114" s="5" t="s">
        <v>11</v>
      </c>
      <c r="D1114" s="5" t="s">
        <v>2215</v>
      </c>
      <c r="E1114" s="5" t="s">
        <v>13</v>
      </c>
      <c r="F1114" s="6">
        <v>39259.75</v>
      </c>
      <c r="G1114" s="7">
        <v>39741</v>
      </c>
      <c r="H1114" s="7">
        <v>43392</v>
      </c>
      <c r="I1114" s="5" t="s">
        <v>2216</v>
      </c>
      <c r="J1114" s="5" t="str">
        <f>"Eastern, Lundazi"</f>
        <v>Eastern, Lundazi</v>
      </c>
    </row>
    <row r="1115" spans="1:10" ht="22.5" x14ac:dyDescent="0.2">
      <c r="A1115" s="2" t="str">
        <f>"21055-HQ-AMR"</f>
        <v>21055-HQ-AMR</v>
      </c>
      <c r="B1115" s="8" t="s">
        <v>564</v>
      </c>
      <c r="C1115" s="8" t="s">
        <v>19</v>
      </c>
      <c r="D1115" s="8" t="s">
        <v>565</v>
      </c>
      <c r="E1115" s="8" t="s">
        <v>13</v>
      </c>
      <c r="F1115" s="9">
        <v>42452.393055555556</v>
      </c>
      <c r="G1115" s="10">
        <v>42590</v>
      </c>
      <c r="H1115" s="10">
        <v>43319</v>
      </c>
      <c r="I1115" s="8" t="s">
        <v>2241</v>
      </c>
      <c r="J1115" s="8" t="str">
        <f>"Central, Kabwe"</f>
        <v>Central, Kabwe</v>
      </c>
    </row>
    <row r="1116" spans="1:10" x14ac:dyDescent="0.2">
      <c r="A1116" s="1" t="str">
        <f>"21058-HQ-AMR"</f>
        <v>21058-HQ-AMR</v>
      </c>
      <c r="B1116" s="5" t="s">
        <v>569</v>
      </c>
      <c r="C1116" s="5" t="s">
        <v>19</v>
      </c>
      <c r="D1116" s="5" t="s">
        <v>570</v>
      </c>
      <c r="E1116" s="5" t="s">
        <v>13</v>
      </c>
      <c r="F1116" s="6">
        <v>42453.421527777777</v>
      </c>
      <c r="G1116" s="7">
        <v>42656</v>
      </c>
      <c r="H1116" s="7">
        <v>43385</v>
      </c>
      <c r="I1116" s="5" t="s">
        <v>571</v>
      </c>
      <c r="J1116" s="5" t="str">
        <f>"Copperbelt, Luanshya"</f>
        <v>Copperbelt, Luanshya</v>
      </c>
    </row>
    <row r="1117" spans="1:10" x14ac:dyDescent="0.2">
      <c r="A1117" s="2" t="str">
        <f>"21069-HQ-AMR"</f>
        <v>21069-HQ-AMR</v>
      </c>
      <c r="B1117" s="8" t="s">
        <v>578</v>
      </c>
      <c r="C1117" s="8" t="s">
        <v>19</v>
      </c>
      <c r="D1117" s="8" t="s">
        <v>575</v>
      </c>
      <c r="E1117" s="8" t="s">
        <v>13</v>
      </c>
      <c r="F1117" s="9">
        <v>42458.518055555556</v>
      </c>
      <c r="G1117" s="10">
        <v>42632</v>
      </c>
      <c r="H1117" s="10">
        <v>43361</v>
      </c>
      <c r="I1117" s="8" t="s">
        <v>579</v>
      </c>
      <c r="J1117" s="8" t="str">
        <f>"Central, Mkushi"</f>
        <v>Central, Mkushi</v>
      </c>
    </row>
    <row r="1118" spans="1:10" x14ac:dyDescent="0.2">
      <c r="A1118" s="1" t="str">
        <f>"21107-HQ-AMR"</f>
        <v>21107-HQ-AMR</v>
      </c>
      <c r="B1118" s="5" t="s">
        <v>597</v>
      </c>
      <c r="C1118" s="5" t="s">
        <v>19</v>
      </c>
      <c r="D1118" s="5" t="s">
        <v>598</v>
      </c>
      <c r="E1118" s="5" t="s">
        <v>13</v>
      </c>
      <c r="F1118" s="6">
        <v>42475.402083333334</v>
      </c>
      <c r="G1118" s="7">
        <v>42577</v>
      </c>
      <c r="H1118" s="7">
        <v>43306</v>
      </c>
      <c r="I1118" s="5" t="s">
        <v>599</v>
      </c>
      <c r="J1118" s="5" t="str">
        <f>"Central, Mkushi"</f>
        <v>Central, Mkushi</v>
      </c>
    </row>
    <row r="1119" spans="1:10" x14ac:dyDescent="0.2">
      <c r="A1119" s="2" t="str">
        <f>"21114-HQ-AMR"</f>
        <v>21114-HQ-AMR</v>
      </c>
      <c r="B1119" s="8" t="s">
        <v>605</v>
      </c>
      <c r="C1119" s="8" t="s">
        <v>19</v>
      </c>
      <c r="D1119" s="8" t="s">
        <v>51</v>
      </c>
      <c r="E1119" s="8" t="s">
        <v>13</v>
      </c>
      <c r="F1119" s="9">
        <v>42480.381944444445</v>
      </c>
      <c r="G1119" s="10">
        <v>42536</v>
      </c>
      <c r="H1119" s="10">
        <v>43265</v>
      </c>
      <c r="I1119" s="8" t="s">
        <v>606</v>
      </c>
      <c r="J1119" s="8" t="str">
        <f>"North Western, Solwezi"</f>
        <v>North Western, Solwezi</v>
      </c>
    </row>
    <row r="1120" spans="1:10" x14ac:dyDescent="0.2">
      <c r="A1120" s="1" t="str">
        <f>"21115-HQ-AMR"</f>
        <v>21115-HQ-AMR</v>
      </c>
      <c r="B1120" s="5" t="s">
        <v>607</v>
      </c>
      <c r="C1120" s="5" t="s">
        <v>19</v>
      </c>
      <c r="D1120" s="5" t="s">
        <v>608</v>
      </c>
      <c r="E1120" s="5" t="s">
        <v>13</v>
      </c>
      <c r="F1120" s="6">
        <v>42480.425694444442</v>
      </c>
      <c r="G1120" s="7">
        <v>42585</v>
      </c>
      <c r="H1120" s="7">
        <v>43314</v>
      </c>
      <c r="I1120" s="5" t="s">
        <v>609</v>
      </c>
      <c r="J1120" s="5" t="str">
        <f>"Northern, Mpika"</f>
        <v>Northern, Mpika</v>
      </c>
    </row>
    <row r="1121" spans="1:10" x14ac:dyDescent="0.2">
      <c r="A1121" s="2" t="str">
        <f>"21132-HQ-AMR"</f>
        <v>21132-HQ-AMR</v>
      </c>
      <c r="B1121" s="8" t="s">
        <v>293</v>
      </c>
      <c r="C1121" s="8" t="s">
        <v>19</v>
      </c>
      <c r="D1121" s="8" t="s">
        <v>102</v>
      </c>
      <c r="E1121" s="8" t="s">
        <v>13</v>
      </c>
      <c r="F1121" s="9">
        <v>42489.411111111112</v>
      </c>
      <c r="G1121" s="10">
        <v>42530</v>
      </c>
      <c r="H1121" s="10">
        <v>43259</v>
      </c>
      <c r="I1121" s="8" t="s">
        <v>618</v>
      </c>
      <c r="J1121" s="8" t="str">
        <f>"Lusaka, Kafue"</f>
        <v>Lusaka, Kafue</v>
      </c>
    </row>
    <row r="1122" spans="1:10" x14ac:dyDescent="0.2">
      <c r="A1122" s="1" t="str">
        <f>"21149-HQ-AMR"</f>
        <v>21149-HQ-AMR</v>
      </c>
      <c r="B1122" s="5" t="s">
        <v>636</v>
      </c>
      <c r="C1122" s="5" t="s">
        <v>19</v>
      </c>
      <c r="D1122" s="5" t="s">
        <v>12</v>
      </c>
      <c r="E1122" s="5" t="s">
        <v>13</v>
      </c>
      <c r="F1122" s="6">
        <v>42501.379166666666</v>
      </c>
      <c r="G1122" s="7">
        <v>42531</v>
      </c>
      <c r="H1122" s="7">
        <v>43260</v>
      </c>
      <c r="I1122" s="5" t="s">
        <v>637</v>
      </c>
      <c r="J1122" s="5" t="str">
        <f>"Lusaka, Kafue"</f>
        <v>Lusaka, Kafue</v>
      </c>
    </row>
    <row r="1123" spans="1:10" x14ac:dyDescent="0.2">
      <c r="A1123" s="2" t="str">
        <f>"21176-HQ-AMR"</f>
        <v>21176-HQ-AMR</v>
      </c>
      <c r="B1123" s="8" t="s">
        <v>655</v>
      </c>
      <c r="C1123" s="8" t="s">
        <v>19</v>
      </c>
      <c r="D1123" s="8" t="s">
        <v>28</v>
      </c>
      <c r="E1123" s="8" t="s">
        <v>13</v>
      </c>
      <c r="F1123" s="9">
        <v>42522.521527777775</v>
      </c>
      <c r="G1123" s="10">
        <v>42549</v>
      </c>
      <c r="H1123" s="10">
        <v>43278</v>
      </c>
      <c r="I1123" s="8" t="s">
        <v>656</v>
      </c>
      <c r="J1123" s="8" t="str">
        <f>"Copperbelt, Mufulira"</f>
        <v>Copperbelt, Mufulira</v>
      </c>
    </row>
    <row r="1124" spans="1:10" x14ac:dyDescent="0.2">
      <c r="A1124" s="1" t="str">
        <f>"21184-HQ-AMR"</f>
        <v>21184-HQ-AMR</v>
      </c>
      <c r="B1124" s="5" t="s">
        <v>661</v>
      </c>
      <c r="C1124" s="5" t="s">
        <v>19</v>
      </c>
      <c r="D1124" s="5" t="s">
        <v>662</v>
      </c>
      <c r="E1124" s="5" t="s">
        <v>13</v>
      </c>
      <c r="F1124" s="6">
        <v>42527.493055555555</v>
      </c>
      <c r="G1124" s="7">
        <v>42618</v>
      </c>
      <c r="H1124" s="7">
        <v>43347</v>
      </c>
      <c r="I1124" s="5" t="s">
        <v>663</v>
      </c>
      <c r="J1124" s="5" t="str">
        <f>"Eastern, Chama"</f>
        <v>Eastern, Chama</v>
      </c>
    </row>
    <row r="1125" spans="1:10" x14ac:dyDescent="0.2">
      <c r="A1125" s="2" t="str">
        <f>"21192-HQ-AMR"</f>
        <v>21192-HQ-AMR</v>
      </c>
      <c r="B1125" s="8" t="s">
        <v>670</v>
      </c>
      <c r="C1125" s="8" t="s">
        <v>19</v>
      </c>
      <c r="D1125" s="8" t="s">
        <v>74</v>
      </c>
      <c r="E1125" s="8" t="s">
        <v>13</v>
      </c>
      <c r="F1125" s="9">
        <v>42531.43472222222</v>
      </c>
      <c r="G1125" s="10">
        <v>42552</v>
      </c>
      <c r="H1125" s="10">
        <v>43281</v>
      </c>
      <c r="I1125" s="8" t="s">
        <v>671</v>
      </c>
      <c r="J1125" s="8" t="str">
        <f>"Central, Chibombo"</f>
        <v>Central, Chibombo</v>
      </c>
    </row>
    <row r="1126" spans="1:10" x14ac:dyDescent="0.2">
      <c r="A1126" s="1" t="str">
        <f>"21193-HQ-AMR"</f>
        <v>21193-HQ-AMR</v>
      </c>
      <c r="B1126" s="5" t="s">
        <v>672</v>
      </c>
      <c r="C1126" s="5" t="s">
        <v>19</v>
      </c>
      <c r="D1126" s="5" t="s">
        <v>74</v>
      </c>
      <c r="E1126" s="5" t="s">
        <v>13</v>
      </c>
      <c r="F1126" s="6">
        <v>42531.440972222219</v>
      </c>
      <c r="G1126" s="7">
        <v>42552</v>
      </c>
      <c r="H1126" s="7">
        <v>43281</v>
      </c>
      <c r="I1126" s="5" t="s">
        <v>673</v>
      </c>
      <c r="J1126" s="5" t="str">
        <f>"Central, Chibombo"</f>
        <v>Central, Chibombo</v>
      </c>
    </row>
    <row r="1127" spans="1:10" x14ac:dyDescent="0.2">
      <c r="A1127" s="2" t="str">
        <f>"21203-HQ-AMR"</f>
        <v>21203-HQ-AMR</v>
      </c>
      <c r="B1127" s="8" t="s">
        <v>293</v>
      </c>
      <c r="C1127" s="8" t="s">
        <v>19</v>
      </c>
      <c r="D1127" s="8" t="s">
        <v>102</v>
      </c>
      <c r="E1127" s="8" t="s">
        <v>13</v>
      </c>
      <c r="F1127" s="9">
        <v>42536.463888888888</v>
      </c>
      <c r="G1127" s="10">
        <v>42579</v>
      </c>
      <c r="H1127" s="10">
        <v>43308</v>
      </c>
      <c r="I1127" s="8" t="s">
        <v>618</v>
      </c>
      <c r="J1127" s="8" t="str">
        <f>"Lusaka, Kafue"</f>
        <v>Lusaka, Kafue</v>
      </c>
    </row>
    <row r="1128" spans="1:10" x14ac:dyDescent="0.2">
      <c r="A1128" s="1" t="str">
        <f>"21208-HQ-AMR"</f>
        <v>21208-HQ-AMR</v>
      </c>
      <c r="B1128" s="5" t="s">
        <v>687</v>
      </c>
      <c r="C1128" s="5" t="s">
        <v>19</v>
      </c>
      <c r="D1128" s="5" t="s">
        <v>167</v>
      </c>
      <c r="E1128" s="5" t="s">
        <v>13</v>
      </c>
      <c r="F1128" s="6">
        <v>42537.433333333334</v>
      </c>
      <c r="G1128" s="7">
        <v>42591</v>
      </c>
      <c r="H1128" s="7">
        <v>43320</v>
      </c>
      <c r="I1128" s="5" t="s">
        <v>688</v>
      </c>
      <c r="J1128" s="5" t="str">
        <f>"Northern, Mbala"</f>
        <v>Northern, Mbala</v>
      </c>
    </row>
    <row r="1129" spans="1:10" x14ac:dyDescent="0.2">
      <c r="A1129" s="2" t="str">
        <f>"21221-HQ-AMR"</f>
        <v>21221-HQ-AMR</v>
      </c>
      <c r="B1129" s="8" t="s">
        <v>689</v>
      </c>
      <c r="C1129" s="8" t="s">
        <v>19</v>
      </c>
      <c r="D1129" s="8" t="s">
        <v>690</v>
      </c>
      <c r="E1129" s="8" t="s">
        <v>13</v>
      </c>
      <c r="F1129" s="9">
        <v>42541.399699074071</v>
      </c>
      <c r="G1129" s="10">
        <v>42657</v>
      </c>
      <c r="H1129" s="10">
        <v>43386</v>
      </c>
      <c r="I1129" s="8" t="s">
        <v>691</v>
      </c>
      <c r="J1129" s="8" t="str">
        <f>"Central, Mkushi"</f>
        <v>Central, Mkushi</v>
      </c>
    </row>
    <row r="1130" spans="1:10" x14ac:dyDescent="0.2">
      <c r="A1130" s="1" t="str">
        <f>"21241-HQ-AMR"</f>
        <v>21241-HQ-AMR</v>
      </c>
      <c r="B1130" s="5" t="s">
        <v>293</v>
      </c>
      <c r="C1130" s="5" t="s">
        <v>19</v>
      </c>
      <c r="D1130" s="5" t="s">
        <v>102</v>
      </c>
      <c r="E1130" s="5" t="s">
        <v>13</v>
      </c>
      <c r="F1130" s="6">
        <v>42552.459722222222</v>
      </c>
      <c r="G1130" s="7">
        <v>42610</v>
      </c>
      <c r="H1130" s="7">
        <v>43339</v>
      </c>
      <c r="I1130" s="5" t="s">
        <v>712</v>
      </c>
      <c r="J1130" s="5" t="str">
        <f>"Lusaka, Kafue"</f>
        <v>Lusaka, Kafue</v>
      </c>
    </row>
    <row r="1131" spans="1:10" x14ac:dyDescent="0.2">
      <c r="A1131" s="2" t="str">
        <f>"21285-HQ-AMR"</f>
        <v>21285-HQ-AMR</v>
      </c>
      <c r="B1131" s="8" t="s">
        <v>754</v>
      </c>
      <c r="C1131" s="8" t="s">
        <v>19</v>
      </c>
      <c r="D1131" s="8" t="s">
        <v>65</v>
      </c>
      <c r="E1131" s="8" t="s">
        <v>13</v>
      </c>
      <c r="F1131" s="9">
        <v>42577.385416666664</v>
      </c>
      <c r="G1131" s="10">
        <v>42627</v>
      </c>
      <c r="H1131" s="10">
        <v>43356</v>
      </c>
      <c r="I1131" s="8" t="s">
        <v>755</v>
      </c>
      <c r="J1131" s="8" t="str">
        <f>"Eastern, Lundazi"</f>
        <v>Eastern, Lundazi</v>
      </c>
    </row>
    <row r="1132" spans="1:10" x14ac:dyDescent="0.2">
      <c r="A1132" s="1" t="str">
        <f>"21295-HQ-AMR"</f>
        <v>21295-HQ-AMR</v>
      </c>
      <c r="B1132" s="5" t="s">
        <v>768</v>
      </c>
      <c r="C1132" s="5" t="s">
        <v>19</v>
      </c>
      <c r="D1132" s="5" t="s">
        <v>769</v>
      </c>
      <c r="E1132" s="5" t="s">
        <v>13</v>
      </c>
      <c r="F1132" s="6">
        <v>42580.515277777777</v>
      </c>
      <c r="G1132" s="7">
        <v>42629</v>
      </c>
      <c r="H1132" s="7">
        <v>43358</v>
      </c>
      <c r="I1132" s="5" t="s">
        <v>770</v>
      </c>
      <c r="J1132" s="5" t="str">
        <f>"Northern, Mbala"</f>
        <v>Northern, Mbala</v>
      </c>
    </row>
    <row r="1133" spans="1:10" x14ac:dyDescent="0.2">
      <c r="A1133" s="2" t="str">
        <f>"21339-HQ-AMR"</f>
        <v>21339-HQ-AMR</v>
      </c>
      <c r="B1133" s="8" t="s">
        <v>808</v>
      </c>
      <c r="C1133" s="8" t="s">
        <v>19</v>
      </c>
      <c r="D1133" s="8" t="s">
        <v>515</v>
      </c>
      <c r="E1133" s="8" t="s">
        <v>13</v>
      </c>
      <c r="F1133" s="9">
        <v>42613.479166666664</v>
      </c>
      <c r="G1133" s="10">
        <v>42629</v>
      </c>
      <c r="H1133" s="10">
        <v>43358</v>
      </c>
      <c r="I1133" s="8" t="s">
        <v>809</v>
      </c>
      <c r="J1133" s="8" t="str">
        <f>"Central, Mkushi"</f>
        <v>Central, Mkushi</v>
      </c>
    </row>
    <row r="1134" spans="1:10" x14ac:dyDescent="0.2">
      <c r="A1134" s="1" t="str">
        <f>"21340-HQ-AMR"</f>
        <v>21340-HQ-AMR</v>
      </c>
      <c r="B1134" s="5" t="s">
        <v>810</v>
      </c>
      <c r="C1134" s="5" t="s">
        <v>19</v>
      </c>
      <c r="D1134" s="5" t="s">
        <v>515</v>
      </c>
      <c r="E1134" s="5" t="s">
        <v>13</v>
      </c>
      <c r="F1134" s="6">
        <v>42613.48333333333</v>
      </c>
      <c r="G1134" s="7">
        <v>42629</v>
      </c>
      <c r="H1134" s="7">
        <v>43358</v>
      </c>
      <c r="I1134" s="5" t="s">
        <v>811</v>
      </c>
      <c r="J1134" s="5" t="str">
        <f>"Central, Mkushi"</f>
        <v>Central, Mkushi</v>
      </c>
    </row>
    <row r="1135" spans="1:10" x14ac:dyDescent="0.2">
      <c r="A1135" s="2" t="str">
        <f>"21394-HQ-AMR"</f>
        <v>21394-HQ-AMR</v>
      </c>
      <c r="B1135" s="8" t="s">
        <v>293</v>
      </c>
      <c r="C1135" s="8" t="s">
        <v>19</v>
      </c>
      <c r="D1135" s="8" t="s">
        <v>102</v>
      </c>
      <c r="E1135" s="8" t="s">
        <v>13</v>
      </c>
      <c r="F1135" s="9">
        <v>42633.430555555555</v>
      </c>
      <c r="G1135" s="10">
        <v>42647</v>
      </c>
      <c r="H1135" s="10">
        <v>43376</v>
      </c>
      <c r="I1135" s="8" t="s">
        <v>2265</v>
      </c>
      <c r="J1135" s="8" t="str">
        <f>"Eastern, Nyimba"</f>
        <v>Eastern, Nyimba</v>
      </c>
    </row>
    <row r="1136" spans="1:10" x14ac:dyDescent="0.2">
      <c r="A1136" s="1" t="str">
        <f>"21416-HQ-AMR"</f>
        <v>21416-HQ-AMR</v>
      </c>
      <c r="B1136" s="5" t="s">
        <v>842</v>
      </c>
      <c r="C1136" s="5" t="s">
        <v>19</v>
      </c>
      <c r="D1136" s="5" t="s">
        <v>843</v>
      </c>
      <c r="E1136" s="5" t="s">
        <v>13</v>
      </c>
      <c r="F1136" s="6">
        <v>42640.51458333333</v>
      </c>
      <c r="G1136" s="7">
        <v>42681</v>
      </c>
      <c r="H1136" s="7">
        <v>43410</v>
      </c>
      <c r="I1136" s="5" t="s">
        <v>844</v>
      </c>
      <c r="J1136" s="5" t="str">
        <f>"Southern, Kazungula"</f>
        <v>Southern, Kazungula</v>
      </c>
    </row>
    <row r="1137" spans="1:10" x14ac:dyDescent="0.2">
      <c r="A1137" s="2" t="str">
        <f>"21418-HQ-AMR"</f>
        <v>21418-HQ-AMR</v>
      </c>
      <c r="B1137" s="8" t="s">
        <v>847</v>
      </c>
      <c r="C1137" s="8" t="s">
        <v>19</v>
      </c>
      <c r="D1137" s="8" t="s">
        <v>848</v>
      </c>
      <c r="E1137" s="8" t="s">
        <v>13</v>
      </c>
      <c r="F1137" s="9">
        <v>42641.381944444445</v>
      </c>
      <c r="G1137" s="10">
        <v>42702</v>
      </c>
      <c r="H1137" s="10">
        <v>43431</v>
      </c>
      <c r="I1137" s="8" t="s">
        <v>332</v>
      </c>
      <c r="J1137" s="8" t="str">
        <f>"Central, Chibombo"</f>
        <v>Central, Chibombo</v>
      </c>
    </row>
    <row r="1138" spans="1:10" x14ac:dyDescent="0.2">
      <c r="A1138" s="1" t="str">
        <f>"21419-HQ-AMR"</f>
        <v>21419-HQ-AMR</v>
      </c>
      <c r="B1138" s="5" t="s">
        <v>849</v>
      </c>
      <c r="C1138" s="5" t="s">
        <v>19</v>
      </c>
      <c r="D1138" s="5" t="s">
        <v>850</v>
      </c>
      <c r="E1138" s="5" t="s">
        <v>13</v>
      </c>
      <c r="F1138" s="6">
        <v>42641.383333333331</v>
      </c>
      <c r="G1138" s="7">
        <v>42646</v>
      </c>
      <c r="H1138" s="7">
        <v>43375</v>
      </c>
      <c r="I1138" s="5" t="s">
        <v>851</v>
      </c>
      <c r="J1138" s="5" t="str">
        <f>"Copperbelt, Chingola"</f>
        <v>Copperbelt, Chingola</v>
      </c>
    </row>
    <row r="1139" spans="1:10" ht="22.5" x14ac:dyDescent="0.2">
      <c r="A1139" s="2" t="str">
        <f>"21438-HQ-AMR"</f>
        <v>21438-HQ-AMR</v>
      </c>
      <c r="B1139" s="8" t="s">
        <v>866</v>
      </c>
      <c r="C1139" s="8" t="s">
        <v>19</v>
      </c>
      <c r="D1139" s="8" t="s">
        <v>867</v>
      </c>
      <c r="E1139" s="8" t="s">
        <v>13</v>
      </c>
      <c r="F1139" s="9">
        <v>42647.517453703702</v>
      </c>
      <c r="G1139" s="10">
        <v>42724</v>
      </c>
      <c r="H1139" s="10">
        <v>43453</v>
      </c>
      <c r="I1139" s="8" t="s">
        <v>868</v>
      </c>
      <c r="J1139" s="8" t="str">
        <f>"Northern, Mpika"</f>
        <v>Northern, Mpika</v>
      </c>
    </row>
    <row r="1140" spans="1:10" x14ac:dyDescent="0.2">
      <c r="A1140" s="1" t="str">
        <f>"21452-HQ-AMR"</f>
        <v>21452-HQ-AMR</v>
      </c>
      <c r="B1140" s="5" t="s">
        <v>883</v>
      </c>
      <c r="C1140" s="5" t="s">
        <v>19</v>
      </c>
      <c r="D1140" s="5" t="s">
        <v>884</v>
      </c>
      <c r="E1140" s="5" t="s">
        <v>13</v>
      </c>
      <c r="F1140" s="6">
        <v>42655.431886574072</v>
      </c>
      <c r="G1140" s="7">
        <v>42677</v>
      </c>
      <c r="H1140" s="7">
        <v>43406</v>
      </c>
      <c r="I1140" s="5" t="s">
        <v>885</v>
      </c>
      <c r="J1140" s="5" t="str">
        <f>"North Western, Solwezi"</f>
        <v>North Western, Solwezi</v>
      </c>
    </row>
    <row r="1141" spans="1:10" x14ac:dyDescent="0.2">
      <c r="A1141" s="2" t="str">
        <f>"21473-HQ-AMR"</f>
        <v>21473-HQ-AMR</v>
      </c>
      <c r="B1141" s="8" t="s">
        <v>903</v>
      </c>
      <c r="C1141" s="8" t="s">
        <v>19</v>
      </c>
      <c r="D1141" s="8" t="s">
        <v>904</v>
      </c>
      <c r="E1141" s="8" t="s">
        <v>13</v>
      </c>
      <c r="F1141" s="9">
        <v>42664.469444444447</v>
      </c>
      <c r="G1141" s="10">
        <v>42731</v>
      </c>
      <c r="H1141" s="10">
        <v>43460</v>
      </c>
      <c r="I1141" s="8" t="s">
        <v>905</v>
      </c>
      <c r="J1141" s="8" t="str">
        <f>"Central, Mkushi"</f>
        <v>Central, Mkushi</v>
      </c>
    </row>
    <row r="1142" spans="1:10" x14ac:dyDescent="0.2">
      <c r="A1142" s="1" t="str">
        <f>"21475-HQ-AMR"</f>
        <v>21475-HQ-AMR</v>
      </c>
      <c r="B1142" s="5" t="s">
        <v>908</v>
      </c>
      <c r="C1142" s="5" t="s">
        <v>19</v>
      </c>
      <c r="D1142" s="5" t="s">
        <v>909</v>
      </c>
      <c r="E1142" s="5" t="s">
        <v>13</v>
      </c>
      <c r="F1142" s="6">
        <v>42664.505555555559</v>
      </c>
      <c r="G1142" s="7">
        <v>42724</v>
      </c>
      <c r="H1142" s="7">
        <v>43453</v>
      </c>
      <c r="I1142" s="5" t="s">
        <v>910</v>
      </c>
      <c r="J1142" s="5" t="str">
        <f>"Northern, Mpika"</f>
        <v>Northern, Mpika</v>
      </c>
    </row>
    <row r="1143" spans="1:10" x14ac:dyDescent="0.2">
      <c r="A1143" s="2" t="str">
        <f>"21495-HQ-AMR"</f>
        <v>21495-HQ-AMR</v>
      </c>
      <c r="B1143" s="8" t="s">
        <v>919</v>
      </c>
      <c r="C1143" s="8" t="s">
        <v>19</v>
      </c>
      <c r="D1143" s="8" t="s">
        <v>487</v>
      </c>
      <c r="E1143" s="8" t="s">
        <v>13</v>
      </c>
      <c r="F1143" s="9">
        <v>42682.396527777775</v>
      </c>
      <c r="G1143" s="10">
        <v>42696</v>
      </c>
      <c r="H1143" s="10">
        <v>43425</v>
      </c>
      <c r="I1143" s="8" t="s">
        <v>920</v>
      </c>
      <c r="J1143" s="8" t="str">
        <f>"Northern, Mpika"</f>
        <v>Northern, Mpika</v>
      </c>
    </row>
    <row r="1144" spans="1:10" x14ac:dyDescent="0.2">
      <c r="A1144" s="1" t="str">
        <f>"21513-HQ-AMR"</f>
        <v>21513-HQ-AMR</v>
      </c>
      <c r="B1144" s="5" t="s">
        <v>932</v>
      </c>
      <c r="C1144" s="5" t="s">
        <v>19</v>
      </c>
      <c r="D1144" s="5" t="s">
        <v>933</v>
      </c>
      <c r="E1144" s="5" t="s">
        <v>13</v>
      </c>
      <c r="F1144" s="6">
        <v>42685.444444444445</v>
      </c>
      <c r="G1144" s="7">
        <v>42724</v>
      </c>
      <c r="H1144" s="7">
        <v>43453</v>
      </c>
      <c r="I1144" s="5" t="s">
        <v>934</v>
      </c>
      <c r="J1144" s="5" t="str">
        <f>"Eastern, Chama, Lundazi"</f>
        <v>Eastern, Chama, Lundazi</v>
      </c>
    </row>
    <row r="1145" spans="1:10" x14ac:dyDescent="0.2">
      <c r="A1145" s="2" t="str">
        <f>"21515-HQ-AMR"</f>
        <v>21515-HQ-AMR</v>
      </c>
      <c r="B1145" s="8" t="s">
        <v>935</v>
      </c>
      <c r="C1145" s="8" t="s">
        <v>19</v>
      </c>
      <c r="D1145" s="8" t="s">
        <v>487</v>
      </c>
      <c r="E1145" s="8" t="s">
        <v>13</v>
      </c>
      <c r="F1145" s="9">
        <v>42685.51666666667</v>
      </c>
      <c r="G1145" s="10">
        <v>42713</v>
      </c>
      <c r="H1145" s="10">
        <v>43442</v>
      </c>
      <c r="I1145" s="8" t="s">
        <v>809</v>
      </c>
      <c r="J1145" s="8" t="str">
        <f>"Central, Serenje"</f>
        <v>Central, Serenje</v>
      </c>
    </row>
    <row r="1146" spans="1:10" x14ac:dyDescent="0.2">
      <c r="A1146" s="1" t="str">
        <f>"21557-HQ-AMR"</f>
        <v>21557-HQ-AMR</v>
      </c>
      <c r="B1146" s="5" t="s">
        <v>949</v>
      </c>
      <c r="C1146" s="5" t="s">
        <v>19</v>
      </c>
      <c r="D1146" s="5" t="s">
        <v>950</v>
      </c>
      <c r="E1146" s="5" t="s">
        <v>13</v>
      </c>
      <c r="F1146" s="6">
        <v>42709.505555555559</v>
      </c>
      <c r="G1146" s="7">
        <v>42723</v>
      </c>
      <c r="H1146" s="7">
        <v>43452</v>
      </c>
      <c r="I1146" s="5" t="s">
        <v>951</v>
      </c>
      <c r="J1146" s="5" t="str">
        <f>"North Western, Solwezi"</f>
        <v>North Western, Solwezi</v>
      </c>
    </row>
  </sheetData>
  <autoFilter ref="A1:J114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Mining Cadastre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2018-11-19T06:54:27Z</dcterms:modified>
</cp:coreProperties>
</file>